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elo\Dropbox\Profissional\Professor Money\"/>
    </mc:Choice>
  </mc:AlternateContent>
  <bookViews>
    <workbookView xWindow="0" yWindow="0" windowWidth="20490" windowHeight="8115"/>
  </bookViews>
  <sheets>
    <sheet name="Base" sheetId="1" r:id="rId1"/>
    <sheet name="Tabelas" sheetId="2" state="hidden" r:id="rId2"/>
  </sheets>
  <definedNames>
    <definedName name="_xlnm.Print_Area" localSheetId="0">Base!$A$1:$AC$84</definedName>
  </definedNames>
  <calcPr calcId="171027" iterateCount="10000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U36" i="1"/>
  <c r="S40" i="1"/>
  <c r="R30" i="1" l="1"/>
  <c r="R26" i="1"/>
  <c r="R51" i="1"/>
  <c r="S51" i="1" s="1"/>
  <c r="R40" i="1"/>
  <c r="E40" i="1"/>
  <c r="K19" i="1"/>
  <c r="D19" i="1"/>
  <c r="N18" i="1"/>
  <c r="K18" i="1"/>
  <c r="G18" i="1"/>
  <c r="D18" i="1"/>
  <c r="N17" i="1"/>
  <c r="K17" i="1"/>
  <c r="G17" i="1"/>
  <c r="D17" i="1"/>
  <c r="N16" i="1"/>
  <c r="K16" i="1"/>
  <c r="G16" i="1"/>
  <c r="D16" i="1"/>
  <c r="N15" i="1"/>
  <c r="G15" i="1"/>
  <c r="L22" i="1"/>
  <c r="D24" i="1"/>
  <c r="T51" i="1" l="1"/>
  <c r="U51" i="1" s="1"/>
  <c r="V51" i="1" s="1"/>
  <c r="T40" i="1"/>
  <c r="U40" i="1" s="1"/>
  <c r="V40" i="1" s="1"/>
  <c r="M84" i="1"/>
  <c r="M82" i="1"/>
  <c r="M80" i="1"/>
  <c r="M78" i="1"/>
  <c r="M76" i="1"/>
  <c r="M74" i="1"/>
  <c r="M72" i="1"/>
  <c r="M70" i="1"/>
  <c r="M68" i="1"/>
  <c r="M66" i="1"/>
  <c r="M64" i="1"/>
  <c r="M62" i="1"/>
  <c r="F84" i="1"/>
  <c r="F82" i="1"/>
  <c r="F80" i="1"/>
  <c r="F78" i="1"/>
  <c r="F76" i="1"/>
  <c r="F74" i="1"/>
  <c r="F72" i="1"/>
  <c r="F70" i="1"/>
  <c r="F68" i="1"/>
  <c r="F66" i="1"/>
  <c r="F64" i="1"/>
  <c r="F62" i="1"/>
  <c r="L68" i="1"/>
  <c r="I83" i="1"/>
  <c r="I81" i="1"/>
  <c r="I79" i="1"/>
  <c r="I77" i="1"/>
  <c r="I75" i="1"/>
  <c r="I73" i="1"/>
  <c r="I71" i="1"/>
  <c r="I69" i="1"/>
  <c r="I67" i="1"/>
  <c r="B84" i="1" l="1"/>
  <c r="B62" i="1"/>
  <c r="B70" i="1"/>
  <c r="B78" i="1"/>
  <c r="B68" i="1"/>
  <c r="B76" i="1"/>
  <c r="B64" i="1"/>
  <c r="B72" i="1"/>
  <c r="B80" i="1"/>
  <c r="B66" i="1"/>
  <c r="B74" i="1"/>
  <c r="B82" i="1"/>
  <c r="L46" i="1"/>
  <c r="L47" i="1"/>
  <c r="L84" i="1"/>
  <c r="L82" i="1"/>
  <c r="L80" i="1"/>
  <c r="L78" i="1"/>
  <c r="L76" i="1"/>
  <c r="L74" i="1"/>
  <c r="L72" i="1"/>
  <c r="L70" i="1"/>
  <c r="L66" i="1"/>
  <c r="L64" i="1"/>
  <c r="L62" i="1"/>
  <c r="L60" i="1"/>
  <c r="E60" i="1"/>
  <c r="E72" i="1"/>
  <c r="E74" i="1"/>
  <c r="E76" i="1"/>
  <c r="E78" i="1"/>
  <c r="E80" i="1"/>
  <c r="E82" i="1"/>
  <c r="E84" i="1"/>
  <c r="E62" i="1"/>
  <c r="E64" i="1"/>
  <c r="E66" i="1"/>
  <c r="E68" i="1"/>
  <c r="E70" i="1"/>
  <c r="L49" i="1"/>
  <c r="L44" i="1"/>
  <c r="L42" i="1"/>
  <c r="L40" i="1"/>
  <c r="M22" i="1"/>
  <c r="E42" i="1"/>
  <c r="E44" i="1"/>
  <c r="E49" i="1"/>
  <c r="F28" i="1"/>
  <c r="E22" i="1"/>
  <c r="F22" i="1" s="1"/>
  <c r="K32" i="1" l="1"/>
  <c r="L32" i="1" s="1"/>
  <c r="M32" i="1" s="1"/>
  <c r="D32" i="1"/>
  <c r="E32" i="1" s="1"/>
  <c r="F32" i="1" s="1"/>
  <c r="K12" i="1"/>
  <c r="K11" i="1"/>
  <c r="K10" i="1"/>
  <c r="N19" i="1" s="1"/>
  <c r="K9" i="1"/>
  <c r="D12" i="1"/>
  <c r="D11" i="1"/>
  <c r="D10" i="1"/>
  <c r="D9" i="1"/>
  <c r="N11" i="1"/>
  <c r="N10" i="1"/>
  <c r="N9" i="1"/>
  <c r="N8" i="1"/>
  <c r="M36" i="1"/>
  <c r="M34" i="1"/>
  <c r="M28" i="1"/>
  <c r="M26" i="1"/>
  <c r="G8" i="1"/>
  <c r="G9" i="1"/>
  <c r="G10" i="1"/>
  <c r="G11" i="1"/>
  <c r="M38" i="1" l="1"/>
  <c r="N12" i="1" s="1"/>
  <c r="O19" i="1"/>
  <c r="O18" i="1" s="1"/>
  <c r="I19" i="1"/>
  <c r="L19" i="1" s="1"/>
  <c r="F36" i="1"/>
  <c r="F34" i="1"/>
  <c r="F26" i="1"/>
  <c r="F39" i="1" l="1"/>
  <c r="G19" i="1" s="1"/>
  <c r="H19" i="1" s="1"/>
  <c r="H18" i="1" s="1"/>
  <c r="F38" i="1"/>
  <c r="G12" i="1" s="1"/>
  <c r="C12" i="1" s="1"/>
  <c r="I12" i="1"/>
  <c r="L12" i="1" s="1"/>
  <c r="I18" i="1"/>
  <c r="L18" i="1" s="1"/>
  <c r="O17" i="1"/>
  <c r="O12" i="1"/>
  <c r="O11" i="1" s="1"/>
  <c r="I11" i="1" s="1"/>
  <c r="L11" i="1" s="1"/>
  <c r="H17" i="1" l="1"/>
  <c r="H16" i="1" s="1"/>
  <c r="C18" i="1"/>
  <c r="E18" i="1" s="1"/>
  <c r="C19" i="1"/>
  <c r="E19" i="1" s="1"/>
  <c r="O16" i="1"/>
  <c r="I17" i="1"/>
  <c r="L17" i="1" s="1"/>
  <c r="O10" i="1"/>
  <c r="O9" i="1" s="1"/>
  <c r="H12" i="1"/>
  <c r="C17" i="1" l="1"/>
  <c r="E17" i="1" s="1"/>
  <c r="I16" i="1"/>
  <c r="L16" i="1" s="1"/>
  <c r="L20" i="1" s="1"/>
  <c r="O15" i="1"/>
  <c r="I15" i="1" s="1"/>
  <c r="C16" i="1"/>
  <c r="E16" i="1" s="1"/>
  <c r="H15" i="1"/>
  <c r="C15" i="1" s="1"/>
  <c r="I10" i="1"/>
  <c r="L10" i="1" s="1"/>
  <c r="O8" i="1"/>
  <c r="I8" i="1" s="1"/>
  <c r="I9" i="1"/>
  <c r="L9" i="1" s="1"/>
  <c r="E12" i="1"/>
  <c r="H11" i="1"/>
  <c r="E20" i="1" l="1"/>
  <c r="L13" i="1"/>
  <c r="H10" i="1"/>
  <c r="C10" i="1" s="1"/>
  <c r="E10" i="1" s="1"/>
  <c r="C11" i="1"/>
  <c r="E11" i="1" s="1"/>
  <c r="M40" i="1" l="1"/>
  <c r="M44" i="1"/>
  <c r="M42" i="1"/>
  <c r="H9" i="1"/>
  <c r="H8" i="1" s="1"/>
  <c r="C8" i="1" s="1"/>
  <c r="M45" i="1" l="1"/>
  <c r="C9" i="1"/>
  <c r="E9" i="1" s="1"/>
  <c r="E13" i="1" s="1"/>
  <c r="M46" i="1" l="1"/>
  <c r="M49" i="1" s="1"/>
  <c r="K51" i="1" s="1"/>
  <c r="K53" i="1" s="1"/>
  <c r="F40" i="1"/>
  <c r="F42" i="1"/>
  <c r="F44" i="1"/>
  <c r="R28" i="1" l="1"/>
  <c r="T42" i="1" s="1"/>
  <c r="U42" i="1" s="1"/>
  <c r="V42" i="1" s="1"/>
  <c r="F45" i="1"/>
  <c r="F47" i="1" l="1"/>
  <c r="F46" i="1"/>
  <c r="F49" i="1" l="1"/>
  <c r="D51" i="1" s="1"/>
  <c r="D53" i="1" s="1"/>
  <c r="D55" i="1" l="1"/>
  <c r="R36" i="1" l="1"/>
  <c r="S36" i="1" s="1"/>
  <c r="D57" i="1"/>
  <c r="T36" i="1" l="1"/>
  <c r="U49" i="1" l="1"/>
  <c r="V49" i="1" s="1"/>
  <c r="T24" i="1" s="1"/>
  <c r="U44" i="1"/>
  <c r="Q55" i="1" l="1"/>
  <c r="V44" i="1"/>
  <c r="T6" i="1" s="1"/>
</calcChain>
</file>

<file path=xl/sharedStrings.xml><?xml version="1.0" encoding="utf-8"?>
<sst xmlns="http://schemas.openxmlformats.org/spreadsheetml/2006/main" count="73" uniqueCount="61">
  <si>
    <t>Faixa 1</t>
  </si>
  <si>
    <t>Base de cálculo</t>
  </si>
  <si>
    <t>Isento</t>
  </si>
  <si>
    <t>Imposto</t>
  </si>
  <si>
    <t>Faixa 2</t>
  </si>
  <si>
    <t>Faixa 3</t>
  </si>
  <si>
    <t>Faixa 4</t>
  </si>
  <si>
    <t>Faixa 5</t>
  </si>
  <si>
    <t>Alíquota</t>
  </si>
  <si>
    <t>Dedução por dependente</t>
  </si>
  <si>
    <t>Rendimentos tributáveis</t>
  </si>
  <si>
    <t>Deduções</t>
  </si>
  <si>
    <t>Previdência Oficial</t>
  </si>
  <si>
    <t>Quantidade de dependentes</t>
  </si>
  <si>
    <t>Despesas com instrução</t>
  </si>
  <si>
    <t>Despesas médicas</t>
  </si>
  <si>
    <t>Pensão alimentícia</t>
  </si>
  <si>
    <t>Deduções de incentivo</t>
  </si>
  <si>
    <t>Deduções adicionais</t>
  </si>
  <si>
    <t>Dedução do PRONAS/PCD</t>
  </si>
  <si>
    <t>Dedução do PRONON</t>
  </si>
  <si>
    <t>Dedução de instrução por dependente</t>
  </si>
  <si>
    <t>Limite contribuição patronal INSS</t>
  </si>
  <si>
    <t>Gastos com educação - quadro auxiliar</t>
  </si>
  <si>
    <t>anos</t>
  </si>
  <si>
    <t>Aplicação</t>
  </si>
  <si>
    <t>Resgate</t>
  </si>
  <si>
    <t>Imposto devido I com contribuição previdenciária</t>
  </si>
  <si>
    <t>Imposto devido I sem contribuição previdenciária</t>
  </si>
  <si>
    <t>Imposto devido II com contribuição previdenciária</t>
  </si>
  <si>
    <t>Imposto devido II sem contribuição previdenciária</t>
  </si>
  <si>
    <t>Total das deduções padrão sem contribuição previdenciária</t>
  </si>
  <si>
    <t>Total das deduções padrão com contribuição previdenciária</t>
  </si>
  <si>
    <t>Quantidade de alimentandos</t>
  </si>
  <si>
    <t>PGBL</t>
  </si>
  <si>
    <t>ao ano</t>
  </si>
  <si>
    <t>Bruto</t>
  </si>
  <si>
    <t>Líquido</t>
  </si>
  <si>
    <t>IR</t>
  </si>
  <si>
    <t>Aplicação do ganho fiscal</t>
  </si>
  <si>
    <t>Regressivo</t>
  </si>
  <si>
    <t>Alíquota PGBL regressivo</t>
  </si>
  <si>
    <t>Progressivo</t>
  </si>
  <si>
    <t>Alíquota PGBL progressivo</t>
  </si>
  <si>
    <t>Simulação de resultados</t>
  </si>
  <si>
    <t>Tesouro Direto</t>
  </si>
  <si>
    <t>Aliquota Tesouro Direto</t>
  </si>
  <si>
    <t>Taxa de administração PGBL</t>
  </si>
  <si>
    <t>Taxa de carregamento PGBL</t>
  </si>
  <si>
    <t>Total PGBL Regressivo</t>
  </si>
  <si>
    <t>Total PGBL Progressivo</t>
  </si>
  <si>
    <t>Rentabilidade</t>
  </si>
  <si>
    <t>Dedução empregado doméstico</t>
  </si>
  <si>
    <t>contribuição para maximizar a vantagem fiscal</t>
  </si>
  <si>
    <t>Imposto devido com contribuição ao PGBL</t>
  </si>
  <si>
    <t>Alíquota efetiva com contribuição ao PGBL</t>
  </si>
  <si>
    <t>Imposto devido sem contribuição ao PGBL</t>
  </si>
  <si>
    <t>Alíquota efetiva sem contribuição ao PGBL</t>
  </si>
  <si>
    <t>Rentabilidade da aplicação</t>
  </si>
  <si>
    <t>Prazo da aplicação</t>
  </si>
  <si>
    <t>Gastos do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</si>
</sst>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14"/>
      <color theme="1"/>
      <name val="Candara"/>
      <family val="2"/>
    </font>
    <font>
      <sz val="10"/>
      <color theme="1"/>
      <name val="Candara"/>
      <family val="2"/>
    </font>
    <font>
      <b/>
      <sz val="14"/>
      <color theme="0"/>
      <name val="Candara"/>
      <family val="2"/>
    </font>
    <font>
      <b/>
      <sz val="13"/>
      <color rgb="FF0070C0"/>
      <name val="Candara"/>
      <family val="2"/>
    </font>
    <font>
      <sz val="12"/>
      <color theme="1"/>
      <name val="Candara"/>
      <family val="2"/>
    </font>
    <font>
      <sz val="1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0" fontId="0" fillId="0" borderId="0" xfId="0" applyNumberFormat="1"/>
    <xf numFmtId="9" fontId="0" fillId="0" borderId="0" xfId="0" applyNumberFormat="1"/>
    <xf numFmtId="8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left" indent="1"/>
    </xf>
    <xf numFmtId="8" fontId="2" fillId="0" borderId="0" xfId="1" applyNumberFormat="1" applyFont="1" applyFill="1" applyProtection="1"/>
    <xf numFmtId="8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8" fontId="2" fillId="0" borderId="0" xfId="1" applyNumberFormat="1" applyFont="1" applyFill="1" applyProtection="1">
      <protection locked="0"/>
    </xf>
    <xf numFmtId="0" fontId="3" fillId="0" borderId="0" xfId="0" applyFont="1"/>
    <xf numFmtId="8" fontId="5" fillId="0" borderId="0" xfId="0" applyNumberFormat="1" applyFont="1"/>
    <xf numFmtId="8" fontId="6" fillId="0" borderId="0" xfId="0" applyNumberFormat="1" applyFont="1"/>
    <xf numFmtId="0" fontId="6" fillId="0" borderId="0" xfId="0" applyFont="1" applyAlignment="1">
      <alignment horizontal="left" indent="2"/>
    </xf>
    <xf numFmtId="10" fontId="5" fillId="0" borderId="0" xfId="2" applyNumberFormat="1" applyFont="1" applyBorder="1" applyAlignment="1">
      <alignment horizontal="center"/>
    </xf>
    <xf numFmtId="0" fontId="2" fillId="2" borderId="0" xfId="0" applyFont="1" applyFill="1"/>
    <xf numFmtId="8" fontId="2" fillId="2" borderId="0" xfId="1" applyNumberFormat="1" applyFont="1" applyFill="1"/>
    <xf numFmtId="8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Protection="1">
      <protection locked="0"/>
    </xf>
    <xf numFmtId="10" fontId="2" fillId="2" borderId="0" xfId="0" applyNumberFormat="1" applyFont="1" applyFill="1"/>
    <xf numFmtId="0" fontId="2" fillId="2" borderId="0" xfId="0" applyFont="1" applyFill="1" applyAlignment="1">
      <alignment horizontal="left" indent="1"/>
    </xf>
    <xf numFmtId="0" fontId="5" fillId="2" borderId="0" xfId="0" applyFont="1" applyFill="1"/>
    <xf numFmtId="164" fontId="2" fillId="2" borderId="0" xfId="2" applyNumberFormat="1" applyFont="1" applyFill="1"/>
    <xf numFmtId="0" fontId="2" fillId="2" borderId="0" xfId="0" applyFont="1" applyFill="1" applyBorder="1"/>
    <xf numFmtId="0" fontId="5" fillId="0" borderId="0" xfId="0" applyFont="1" applyBorder="1" applyAlignment="1">
      <alignment horizontal="center" wrapText="1"/>
    </xf>
    <xf numFmtId="0" fontId="5" fillId="2" borderId="0" xfId="0" applyFont="1" applyFill="1" applyBorder="1" applyAlignment="1"/>
    <xf numFmtId="0" fontId="5" fillId="0" borderId="0" xfId="0" applyFont="1" applyBorder="1" applyAlignment="1"/>
    <xf numFmtId="0" fontId="2" fillId="0" borderId="0" xfId="0" applyFont="1" applyFill="1"/>
    <xf numFmtId="0" fontId="2" fillId="0" borderId="5" xfId="0" applyFont="1" applyBorder="1"/>
    <xf numFmtId="0" fontId="2" fillId="0" borderId="0" xfId="0" applyFont="1" applyBorder="1"/>
    <xf numFmtId="0" fontId="2" fillId="2" borderId="5" xfId="0" applyFont="1" applyFill="1" applyBorder="1"/>
    <xf numFmtId="10" fontId="2" fillId="0" borderId="0" xfId="0" applyNumberFormat="1" applyFont="1" applyBorder="1" applyAlignment="1">
      <alignment horizontal="center"/>
    </xf>
    <xf numFmtId="0" fontId="2" fillId="0" borderId="5" xfId="0" applyFont="1" applyFill="1" applyBorder="1"/>
    <xf numFmtId="10" fontId="2" fillId="0" borderId="0" xfId="2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0" fontId="2" fillId="0" borderId="0" xfId="2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 vertical="center"/>
    </xf>
    <xf numFmtId="8" fontId="2" fillId="3" borderId="1" xfId="1" applyNumberFormat="1" applyFont="1" applyFill="1" applyBorder="1" applyProtection="1">
      <protection locked="0"/>
    </xf>
    <xf numFmtId="8" fontId="2" fillId="4" borderId="1" xfId="1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10" fontId="2" fillId="6" borderId="1" xfId="0" applyNumberFormat="1" applyFont="1" applyFill="1" applyBorder="1" applyAlignment="1" applyProtection="1">
      <alignment horizontal="center"/>
      <protection locked="0"/>
    </xf>
    <xf numFmtId="8" fontId="8" fillId="0" borderId="0" xfId="0" applyNumberFormat="1" applyFont="1" applyBorder="1" applyAlignment="1">
      <alignment horizontal="center"/>
    </xf>
    <xf numFmtId="10" fontId="8" fillId="0" borderId="0" xfId="2" applyNumberFormat="1" applyFont="1" applyBorder="1" applyAlignment="1">
      <alignment horizontal="center"/>
    </xf>
    <xf numFmtId="8" fontId="8" fillId="0" borderId="0" xfId="2" applyNumberFormat="1" applyFont="1" applyBorder="1" applyAlignment="1">
      <alignment horizontal="center"/>
    </xf>
    <xf numFmtId="0" fontId="4" fillId="0" borderId="5" xfId="0" applyFont="1" applyFill="1" applyBorder="1"/>
    <xf numFmtId="0" fontId="9" fillId="0" borderId="5" xfId="0" applyFont="1" applyFill="1" applyBorder="1"/>
    <xf numFmtId="0" fontId="9" fillId="0" borderId="5" xfId="0" applyFont="1" applyBorder="1"/>
    <xf numFmtId="8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8" fontId="8" fillId="0" borderId="0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0" fontId="8" fillId="0" borderId="6" xfId="2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2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/>
    <xf numFmtId="8" fontId="2" fillId="0" borderId="0" xfId="1" applyNumberFormat="1" applyFont="1" applyFill="1"/>
    <xf numFmtId="10" fontId="2" fillId="0" borderId="0" xfId="0" applyNumberFormat="1" applyFont="1" applyFill="1"/>
    <xf numFmtId="10" fontId="2" fillId="0" borderId="6" xfId="2" applyNumberFormat="1" applyFont="1" applyFill="1" applyBorder="1" applyAlignment="1">
      <alignment horizontal="center"/>
    </xf>
    <xf numFmtId="0" fontId="10" fillId="0" borderId="0" xfId="0" applyFont="1" applyBorder="1"/>
    <xf numFmtId="0" fontId="10" fillId="2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/>
    <xf numFmtId="10" fontId="10" fillId="0" borderId="0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27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profmoney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3</xdr:row>
      <xdr:rowOff>78815</xdr:rowOff>
    </xdr:from>
    <xdr:to>
      <xdr:col>21</xdr:col>
      <xdr:colOff>571500</xdr:colOff>
      <xdr:row>25</xdr:row>
      <xdr:rowOff>15874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7EE20-CBB1-4777-96C0-903BC2CA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450290"/>
          <a:ext cx="1409700" cy="851459"/>
        </a:xfrm>
        <a:prstGeom prst="rect">
          <a:avLst/>
        </a:prstGeom>
      </xdr:spPr>
    </xdr:pic>
    <xdr:clientData/>
  </xdr:twoCellAnchor>
  <xdr:oneCellAnchor>
    <xdr:from>
      <xdr:col>20</xdr:col>
      <xdr:colOff>209550</xdr:colOff>
      <xdr:row>25</xdr:row>
      <xdr:rowOff>123825</xdr:rowOff>
    </xdr:from>
    <xdr:ext cx="1565429" cy="259302"/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832FB-5DD5-4262-BB26-A972831FA5AA}"/>
            </a:ext>
          </a:extLst>
        </xdr:cNvPr>
        <xdr:cNvSpPr txBox="1"/>
      </xdr:nvSpPr>
      <xdr:spPr>
        <a:xfrm>
          <a:off x="10839450" y="1409700"/>
          <a:ext cx="1565429" cy="25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 i="0">
              <a:latin typeface="Agency FB" panose="020B0503020202020204" pitchFamily="34" charset="0"/>
            </a:rPr>
            <a:t>Visite</a:t>
          </a:r>
          <a:r>
            <a:rPr lang="en-US" sz="1100" b="0" i="0" baseline="0">
              <a:latin typeface="Agency FB" panose="020B0503020202020204" pitchFamily="34" charset="0"/>
            </a:rPr>
            <a:t> o site: </a:t>
          </a:r>
          <a:r>
            <a:rPr lang="en-US" sz="1100" b="0" i="0" u="sng" baseline="0">
              <a:solidFill>
                <a:srgbClr val="0070C0"/>
              </a:solidFill>
              <a:latin typeface="Agency FB" panose="020B0503020202020204" pitchFamily="34" charset="0"/>
            </a:rPr>
            <a:t>profmoney.com.br</a:t>
          </a:r>
          <a:endParaRPr lang="en-US" sz="1100" b="0" i="0" u="sng">
            <a:solidFill>
              <a:srgbClr val="0070C0"/>
            </a:solidFill>
            <a:latin typeface="Agency FB" panose="020B0503020202020204" pitchFamily="34" charset="0"/>
          </a:endParaRPr>
        </a:p>
      </xdr:txBody>
    </xdr:sp>
    <xdr:clientData/>
  </xdr:oneCellAnchor>
  <xdr:twoCellAnchor>
    <xdr:from>
      <xdr:col>18</xdr:col>
      <xdr:colOff>781050</xdr:colOff>
      <xdr:row>21</xdr:row>
      <xdr:rowOff>180975</xdr:rowOff>
    </xdr:from>
    <xdr:to>
      <xdr:col>20</xdr:col>
      <xdr:colOff>114300</xdr:colOff>
      <xdr:row>26</xdr:row>
      <xdr:rowOff>28575</xdr:rowOff>
    </xdr:to>
    <xdr:sp macro="Macro1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A589102-CB2D-4D50-8ACA-B529E9D51394}"/>
            </a:ext>
          </a:extLst>
        </xdr:cNvPr>
        <xdr:cNvSpPr/>
      </xdr:nvSpPr>
      <xdr:spPr>
        <a:xfrm>
          <a:off x="9439275" y="1009650"/>
          <a:ext cx="1304925" cy="49530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0" i="0">
              <a:latin typeface="Candara" panose="020E0502030303020204" pitchFamily="34" charset="0"/>
            </a:rPr>
            <a:t>Calcular taxa do </a:t>
          </a:r>
          <a:r>
            <a:rPr lang="pt-BR" sz="1100" b="1" i="0">
              <a:latin typeface="Candara" panose="020E0502030303020204" pitchFamily="34" charset="0"/>
            </a:rPr>
            <a:t>PGBL progressivo</a:t>
          </a:r>
        </a:p>
      </xdr:txBody>
    </xdr:sp>
    <xdr:clientData/>
  </xdr:twoCellAnchor>
  <xdr:twoCellAnchor>
    <xdr:from>
      <xdr:col>18</xdr:col>
      <xdr:colOff>771525</xdr:colOff>
      <xdr:row>3</xdr:row>
      <xdr:rowOff>66675</xdr:rowOff>
    </xdr:from>
    <xdr:to>
      <xdr:col>20</xdr:col>
      <xdr:colOff>104775</xdr:colOff>
      <xdr:row>21</xdr:row>
      <xdr:rowOff>104775</xdr:rowOff>
    </xdr:to>
    <xdr:sp macro="Macro2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8324926-BD4C-494E-87E6-04778C196033}"/>
            </a:ext>
          </a:extLst>
        </xdr:cNvPr>
        <xdr:cNvSpPr/>
      </xdr:nvSpPr>
      <xdr:spPr>
        <a:xfrm>
          <a:off x="9429750" y="438150"/>
          <a:ext cx="1304925" cy="49530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indent="0" algn="ctr"/>
          <a:r>
            <a:rPr lang="pt-BR" sz="1100" b="0" i="0">
              <a:solidFill>
                <a:schemeClr val="lt1">
                  <a:lumMod val="100000"/>
                </a:schemeClr>
              </a:solidFill>
              <a:latin typeface="Candara" panose="020E0502030303020204" pitchFamily="34" charset="0"/>
              <a:ea typeface="+mn-ea"/>
              <a:cs typeface="+mn-cs"/>
            </a:rPr>
            <a:t>Calcular taxa do </a:t>
          </a:r>
          <a:r>
            <a:rPr lang="pt-BR" sz="1100" b="1" i="0">
              <a:solidFill>
                <a:schemeClr val="lt1">
                  <a:lumMod val="100000"/>
                </a:schemeClr>
              </a:solidFill>
              <a:latin typeface="Candara" panose="020E0502030303020204" pitchFamily="34" charset="0"/>
              <a:ea typeface="+mn-ea"/>
              <a:cs typeface="+mn-cs"/>
            </a:rPr>
            <a:t>PGBL regressivo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Z85"/>
  <sheetViews>
    <sheetView showGridLines="0" showRowColHeaders="0" tabSelected="1" zoomScaleNormal="100" workbookViewId="0">
      <selection activeCell="R24" sqref="R24"/>
    </sheetView>
  </sheetViews>
  <sheetFormatPr defaultRowHeight="15" x14ac:dyDescent="0.25"/>
  <cols>
    <col min="1" max="1" width="2" style="4" customWidth="1"/>
    <col min="2" max="2" width="43.85546875" style="4" customWidth="1"/>
    <col min="3" max="3" width="13.28515625" style="4" hidden="1" customWidth="1"/>
    <col min="4" max="4" width="19.5703125" style="4" bestFit="1" customWidth="1"/>
    <col min="5" max="5" width="13.28515625" style="16" hidden="1" customWidth="1"/>
    <col min="6" max="6" width="13.5703125" style="16" hidden="1" customWidth="1"/>
    <col min="7" max="8" width="13.7109375" style="16" hidden="1" customWidth="1"/>
    <col min="9" max="9" width="13.28515625" style="16" hidden="1" customWidth="1"/>
    <col min="10" max="10" width="2.28515625" style="4" customWidth="1"/>
    <col min="11" max="11" width="18.28515625" style="4" bestFit="1" customWidth="1"/>
    <col min="12" max="12" width="13.28515625" style="16" hidden="1" customWidth="1"/>
    <col min="13" max="13" width="13.5703125" style="16" hidden="1" customWidth="1"/>
    <col min="14" max="15" width="13.42578125" style="16" hidden="1" customWidth="1"/>
    <col min="16" max="16" width="3.140625" style="4" customWidth="1"/>
    <col min="17" max="17" width="26.28515625" style="4" customWidth="1"/>
    <col min="18" max="18" width="14.42578125" style="4" bestFit="1" customWidth="1"/>
    <col min="19" max="19" width="15.140625" style="4" bestFit="1" customWidth="1"/>
    <col min="20" max="20" width="14.42578125" style="4" bestFit="1" customWidth="1"/>
    <col min="21" max="21" width="16.5703125" style="4" bestFit="1" customWidth="1"/>
    <col min="22" max="22" width="13.7109375" style="66" bestFit="1" customWidth="1"/>
    <col min="23" max="16384" width="9.140625" style="4"/>
  </cols>
  <sheetData>
    <row r="1" spans="2:22" ht="6.95" customHeight="1" thickBot="1" x14ac:dyDescent="0.3"/>
    <row r="2" spans="2:22" ht="15" customHeight="1" x14ac:dyDescent="0.3">
      <c r="D2" s="26" t="s">
        <v>25</v>
      </c>
      <c r="E2" s="27"/>
      <c r="F2" s="27"/>
      <c r="G2" s="27"/>
      <c r="H2" s="27"/>
      <c r="I2" s="27"/>
      <c r="J2" s="28"/>
      <c r="K2" s="26" t="s">
        <v>26</v>
      </c>
      <c r="M2" s="24"/>
      <c r="Q2" s="59" t="s">
        <v>44</v>
      </c>
      <c r="R2" s="60"/>
      <c r="S2" s="60"/>
      <c r="T2" s="60"/>
      <c r="U2" s="60"/>
      <c r="V2" s="61"/>
    </row>
    <row r="3" spans="2:22" ht="7.5" customHeight="1" x14ac:dyDescent="0.25">
      <c r="Q3" s="30"/>
      <c r="R3" s="31"/>
      <c r="S3" s="31"/>
      <c r="T3" s="31"/>
      <c r="U3" s="31"/>
      <c r="V3" s="58"/>
    </row>
    <row r="4" spans="2:22" x14ac:dyDescent="0.25">
      <c r="B4" s="11" t="s">
        <v>10</v>
      </c>
      <c r="D4" s="42">
        <v>300000</v>
      </c>
      <c r="K4" s="43">
        <v>100000</v>
      </c>
      <c r="P4" s="7"/>
      <c r="Q4" s="30" t="s">
        <v>59</v>
      </c>
      <c r="R4" s="48">
        <v>10</v>
      </c>
      <c r="S4" s="31" t="s">
        <v>24</v>
      </c>
      <c r="T4" s="78"/>
      <c r="U4" s="31"/>
      <c r="V4" s="58"/>
    </row>
    <row r="5" spans="2:22" ht="3" customHeight="1" x14ac:dyDescent="0.25">
      <c r="B5" s="11"/>
      <c r="P5" s="7"/>
      <c r="Q5" s="30"/>
      <c r="R5" s="31"/>
      <c r="S5" s="31"/>
      <c r="T5" s="78"/>
      <c r="U5" s="31"/>
      <c r="V5" s="58"/>
    </row>
    <row r="6" spans="2:22" s="29" customFormat="1" x14ac:dyDescent="0.25">
      <c r="B6" s="74" t="s">
        <v>11</v>
      </c>
      <c r="F6" s="75"/>
      <c r="M6" s="75"/>
      <c r="Q6" s="30" t="s">
        <v>58</v>
      </c>
      <c r="R6" s="49">
        <v>0.1</v>
      </c>
      <c r="S6" s="31" t="s">
        <v>35</v>
      </c>
      <c r="T6" s="82">
        <f>V44-V51</f>
        <v>2.8200663776213331E-2</v>
      </c>
      <c r="U6" s="37"/>
      <c r="V6" s="40"/>
    </row>
    <row r="7" spans="2:22" s="16" customFormat="1" ht="15" hidden="1" customHeight="1" x14ac:dyDescent="0.25">
      <c r="D7" s="16" t="s">
        <v>8</v>
      </c>
      <c r="E7" s="16" t="s">
        <v>3</v>
      </c>
      <c r="K7" s="16" t="s">
        <v>8</v>
      </c>
      <c r="L7" s="16" t="s">
        <v>3</v>
      </c>
      <c r="Q7" s="32"/>
      <c r="R7" s="25"/>
      <c r="S7" s="25"/>
      <c r="T7" s="79"/>
      <c r="U7" s="25"/>
      <c r="V7" s="68"/>
    </row>
    <row r="8" spans="2:22" s="16" customFormat="1" ht="15" hidden="1" customHeight="1" x14ac:dyDescent="0.25">
      <c r="B8" s="16" t="s">
        <v>0</v>
      </c>
      <c r="C8" s="18">
        <f>MAX(0,H8)</f>
        <v>22847.759999999998</v>
      </c>
      <c r="D8" s="16" t="s">
        <v>2</v>
      </c>
      <c r="E8" s="17">
        <v>0</v>
      </c>
      <c r="G8" s="17">
        <f>Tabelas!$A$2</f>
        <v>22847.759999999998</v>
      </c>
      <c r="H8" s="18">
        <f t="shared" ref="H8:H9" si="0">IF(H9&lt;0,G8+H9,G8)</f>
        <v>22847.759999999998</v>
      </c>
      <c r="I8" s="18">
        <f>MAX(0,O8)</f>
        <v>22847.759999999998</v>
      </c>
      <c r="K8" s="16" t="s">
        <v>2</v>
      </c>
      <c r="L8" s="17">
        <v>0</v>
      </c>
      <c r="N8" s="17">
        <f>Tabelas!$A$2</f>
        <v>22847.759999999998</v>
      </c>
      <c r="O8" s="18">
        <f>IF(O9&lt;0,N8+O9,N8)</f>
        <v>22847.759999999998</v>
      </c>
      <c r="Q8" s="32"/>
      <c r="R8" s="25"/>
      <c r="S8" s="25"/>
      <c r="T8" s="79"/>
      <c r="U8" s="25"/>
      <c r="V8" s="68"/>
    </row>
    <row r="9" spans="2:22" s="16" customFormat="1" ht="15" hidden="1" customHeight="1" x14ac:dyDescent="0.25">
      <c r="B9" s="16" t="s">
        <v>4</v>
      </c>
      <c r="C9" s="18">
        <f>MAX(0,H9)</f>
        <v>11072.040000000005</v>
      </c>
      <c r="D9" s="21">
        <f>Tabelas!$B$2</f>
        <v>7.4999999999999997E-2</v>
      </c>
      <c r="E9" s="17">
        <f>ROUND(D9*C9,2)</f>
        <v>830.4</v>
      </c>
      <c r="G9" s="17">
        <f>Tabelas!$A$3-Tabelas!$A$2</f>
        <v>11072.040000000005</v>
      </c>
      <c r="H9" s="18">
        <f t="shared" si="0"/>
        <v>11072.040000000005</v>
      </c>
      <c r="I9" s="18">
        <f>MAX(0,O9)</f>
        <v>11072.040000000005</v>
      </c>
      <c r="K9" s="21">
        <f>Tabelas!$B$2</f>
        <v>7.4999999999999997E-2</v>
      </c>
      <c r="L9" s="17">
        <f>ROUND(K9*I9,2)</f>
        <v>830.4</v>
      </c>
      <c r="N9" s="17">
        <f>Tabelas!$A$3-Tabelas!$A$2</f>
        <v>11072.040000000005</v>
      </c>
      <c r="O9" s="18">
        <f>IF(O10&lt;0,N9+O10,N9)</f>
        <v>11072.040000000005</v>
      </c>
      <c r="Q9" s="32"/>
      <c r="R9" s="25"/>
      <c r="S9" s="25"/>
      <c r="T9" s="79"/>
      <c r="U9" s="25"/>
      <c r="V9" s="68"/>
    </row>
    <row r="10" spans="2:22" s="16" customFormat="1" ht="15" hidden="1" customHeight="1" x14ac:dyDescent="0.25">
      <c r="B10" s="16" t="s">
        <v>5</v>
      </c>
      <c r="C10" s="18">
        <f>MAX(0,H10)</f>
        <v>11092.799999999996</v>
      </c>
      <c r="D10" s="21">
        <f>Tabelas!$B$3</f>
        <v>0.15</v>
      </c>
      <c r="E10" s="17">
        <f>ROUND(D10*C10,2)</f>
        <v>1663.92</v>
      </c>
      <c r="G10" s="17">
        <f>Tabelas!$A$4-Tabelas!$A$3</f>
        <v>11092.799999999996</v>
      </c>
      <c r="H10" s="18">
        <f>IF(H11&lt;0,G10+H11,G10)</f>
        <v>11092.799999999996</v>
      </c>
      <c r="I10" s="18">
        <f>MAX(0,O10)</f>
        <v>11092.799999999996</v>
      </c>
      <c r="K10" s="21">
        <f>Tabelas!$B$3</f>
        <v>0.15</v>
      </c>
      <c r="L10" s="17">
        <f>ROUND(K10*I10,2)</f>
        <v>1663.92</v>
      </c>
      <c r="N10" s="17">
        <f>Tabelas!$A$4-Tabelas!$A$3</f>
        <v>11092.799999999996</v>
      </c>
      <c r="O10" s="18">
        <f>IF(O11&lt;0,N10+O11,N10)</f>
        <v>11092.799999999996</v>
      </c>
      <c r="Q10" s="32"/>
      <c r="R10" s="25"/>
      <c r="S10" s="25"/>
      <c r="T10" s="79"/>
      <c r="U10" s="25"/>
      <c r="V10" s="68"/>
    </row>
    <row r="11" spans="2:22" s="16" customFormat="1" ht="15" hidden="1" customHeight="1" x14ac:dyDescent="0.25">
      <c r="B11" s="16" t="s">
        <v>6</v>
      </c>
      <c r="C11" s="18">
        <f>MAX(0,H11)</f>
        <v>10963.560000000005</v>
      </c>
      <c r="D11" s="21">
        <f>Tabelas!$B$4</f>
        <v>0.22500000000000001</v>
      </c>
      <c r="E11" s="17">
        <f>ROUND(D11*C11,2)</f>
        <v>2466.8000000000002</v>
      </c>
      <c r="G11" s="17">
        <f>Tabelas!$A$5-Tabelas!$A$4</f>
        <v>10963.560000000005</v>
      </c>
      <c r="H11" s="18">
        <f>IF(H12&lt;0,G11+H12,G11)</f>
        <v>10963.560000000005</v>
      </c>
      <c r="I11" s="18">
        <f>MAX(0,O11)</f>
        <v>10963.560000000005</v>
      </c>
      <c r="K11" s="21">
        <f>Tabelas!$B$4</f>
        <v>0.22500000000000001</v>
      </c>
      <c r="L11" s="17">
        <f>ROUND(K11*I11,2)</f>
        <v>2466.8000000000002</v>
      </c>
      <c r="N11" s="17">
        <f>Tabelas!$A$5-Tabelas!$A$4</f>
        <v>10963.560000000005</v>
      </c>
      <c r="O11" s="18">
        <f>IF(O12&lt;0,N11+O12,N11)</f>
        <v>10963.560000000005</v>
      </c>
      <c r="Q11" s="32"/>
      <c r="R11" s="25"/>
      <c r="S11" s="25"/>
      <c r="T11" s="79"/>
      <c r="U11" s="25"/>
      <c r="V11" s="68"/>
    </row>
    <row r="12" spans="2:22" s="16" customFormat="1" ht="15" hidden="1" customHeight="1" x14ac:dyDescent="0.25">
      <c r="B12" s="16" t="s">
        <v>7</v>
      </c>
      <c r="C12" s="18">
        <f>MAX(0,G12)</f>
        <v>174075.6</v>
      </c>
      <c r="D12" s="21">
        <f>Tabelas!$B$5</f>
        <v>0.27500000000000002</v>
      </c>
      <c r="E12" s="17">
        <f>ROUND(D12*C12,2)</f>
        <v>47870.79</v>
      </c>
      <c r="G12" s="17">
        <f>D4+F38-Tabelas!$A$5</f>
        <v>174075.6</v>
      </c>
      <c r="H12" s="18">
        <f>G12</f>
        <v>174075.6</v>
      </c>
      <c r="I12" s="18">
        <f>MAX(0,N12)</f>
        <v>11748.759999999995</v>
      </c>
      <c r="K12" s="21">
        <f>Tabelas!$B$5</f>
        <v>0.27500000000000002</v>
      </c>
      <c r="L12" s="17">
        <f>ROUND(K12*I12,2)</f>
        <v>3230.91</v>
      </c>
      <c r="N12" s="17">
        <f>K4+M38-Tabelas!$A$5</f>
        <v>11748.759999999995</v>
      </c>
      <c r="O12" s="18">
        <f>N12</f>
        <v>11748.759999999995</v>
      </c>
      <c r="Q12" s="32"/>
      <c r="R12" s="25"/>
      <c r="S12" s="25"/>
      <c r="T12" s="79"/>
      <c r="U12" s="25"/>
      <c r="V12" s="68"/>
    </row>
    <row r="13" spans="2:22" s="16" customFormat="1" ht="15" hidden="1" customHeight="1" x14ac:dyDescent="0.25">
      <c r="B13" s="16" t="s">
        <v>27</v>
      </c>
      <c r="D13" s="21"/>
      <c r="E13" s="17">
        <f>SUM(E8:E12)</f>
        <v>52831.91</v>
      </c>
      <c r="K13" s="21"/>
      <c r="L13" s="17">
        <f>SUM(L8:L12)</f>
        <v>8192.0300000000007</v>
      </c>
      <c r="Q13" s="32"/>
      <c r="R13" s="25"/>
      <c r="S13" s="25"/>
      <c r="T13" s="79"/>
      <c r="U13" s="25"/>
      <c r="V13" s="68"/>
    </row>
    <row r="14" spans="2:22" s="16" customFormat="1" ht="15" hidden="1" customHeight="1" x14ac:dyDescent="0.25">
      <c r="D14" s="21"/>
      <c r="E14" s="17"/>
      <c r="K14" s="21"/>
      <c r="L14" s="17"/>
      <c r="Q14" s="32"/>
      <c r="R14" s="25"/>
      <c r="S14" s="25"/>
      <c r="T14" s="79"/>
      <c r="U14" s="25"/>
      <c r="V14" s="68"/>
    </row>
    <row r="15" spans="2:22" s="16" customFormat="1" ht="15" hidden="1" customHeight="1" x14ac:dyDescent="0.25">
      <c r="B15" s="16" t="s">
        <v>0</v>
      </c>
      <c r="C15" s="18">
        <f>MAX(0,H15)</f>
        <v>22847.759999999998</v>
      </c>
      <c r="D15" s="16" t="s">
        <v>2</v>
      </c>
      <c r="E15" s="17">
        <v>0</v>
      </c>
      <c r="G15" s="17">
        <f>Tabelas!$A$2</f>
        <v>22847.759999999998</v>
      </c>
      <c r="H15" s="18">
        <f t="shared" ref="H15:H16" si="1">IF(H16&lt;0,G15+H16,G15)</f>
        <v>22847.759999999998</v>
      </c>
      <c r="I15" s="18">
        <f>MAX(0,O15)</f>
        <v>0.15000000000145519</v>
      </c>
      <c r="K15" s="16" t="s">
        <v>2</v>
      </c>
      <c r="L15" s="17">
        <v>0</v>
      </c>
      <c r="N15" s="17">
        <f>Tabelas!$A$2</f>
        <v>22847.759999999998</v>
      </c>
      <c r="O15" s="18">
        <f>IF(O16&lt;0,N15+O16,N15)</f>
        <v>0.15000000000145519</v>
      </c>
      <c r="Q15" s="32"/>
      <c r="R15" s="25"/>
      <c r="S15" s="25"/>
      <c r="T15" s="79"/>
      <c r="U15" s="25"/>
      <c r="V15" s="68"/>
    </row>
    <row r="16" spans="2:22" s="16" customFormat="1" ht="15" hidden="1" customHeight="1" x14ac:dyDescent="0.25">
      <c r="B16" s="16" t="s">
        <v>4</v>
      </c>
      <c r="C16" s="18">
        <f>MAX(0,H16)</f>
        <v>11072.040000000005</v>
      </c>
      <c r="D16" s="21">
        <f>Tabelas!$B$2</f>
        <v>7.4999999999999997E-2</v>
      </c>
      <c r="E16" s="17">
        <f>ROUND(D16*C16,2)</f>
        <v>830.4</v>
      </c>
      <c r="G16" s="17">
        <f>Tabelas!$A$3-Tabelas!$A$2</f>
        <v>11072.040000000005</v>
      </c>
      <c r="H16" s="18">
        <f t="shared" si="1"/>
        <v>11072.040000000005</v>
      </c>
      <c r="I16" s="18">
        <f>MAX(0,O16)</f>
        <v>0</v>
      </c>
      <c r="K16" s="21">
        <f>Tabelas!$B$2</f>
        <v>7.4999999999999997E-2</v>
      </c>
      <c r="L16" s="17">
        <f>ROUND(K16*I16,2)</f>
        <v>0</v>
      </c>
      <c r="N16" s="17">
        <f>Tabelas!$A$3-Tabelas!$A$2</f>
        <v>11072.040000000005</v>
      </c>
      <c r="O16" s="18">
        <f>IF(O17&lt;0,N16+O17,N16)</f>
        <v>-22847.609999999997</v>
      </c>
      <c r="Q16" s="32"/>
      <c r="R16" s="25"/>
      <c r="S16" s="25"/>
      <c r="T16" s="79"/>
      <c r="U16" s="25"/>
      <c r="V16" s="68"/>
    </row>
    <row r="17" spans="2:26" s="16" customFormat="1" ht="15" hidden="1" customHeight="1" x14ac:dyDescent="0.25">
      <c r="B17" s="16" t="s">
        <v>5</v>
      </c>
      <c r="C17" s="18">
        <f>MAX(0,H17)</f>
        <v>11092.799999999996</v>
      </c>
      <c r="D17" s="21">
        <f>Tabelas!$B$3</f>
        <v>0.15</v>
      </c>
      <c r="E17" s="17">
        <f>ROUND(D17*C17,2)</f>
        <v>1663.92</v>
      </c>
      <c r="G17" s="17">
        <f>Tabelas!$A$4-Tabelas!$A$3</f>
        <v>11092.799999999996</v>
      </c>
      <c r="H17" s="18">
        <f>IF(H18&lt;0,G17+H18,G17)</f>
        <v>11092.799999999996</v>
      </c>
      <c r="I17" s="18">
        <f>MAX(0,O17)</f>
        <v>0</v>
      </c>
      <c r="K17" s="21">
        <f>Tabelas!$B$3</f>
        <v>0.15</v>
      </c>
      <c r="L17" s="17">
        <f>ROUND(K17*I17,2)</f>
        <v>0</v>
      </c>
      <c r="N17" s="17">
        <f>Tabelas!$A$4-Tabelas!$A$3</f>
        <v>11092.799999999996</v>
      </c>
      <c r="O17" s="18">
        <f>IF(O18&lt;0,N17+O18,N17)</f>
        <v>-33919.65</v>
      </c>
      <c r="Q17" s="32"/>
      <c r="R17" s="25"/>
      <c r="S17" s="25"/>
      <c r="T17" s="79"/>
      <c r="U17" s="25"/>
      <c r="V17" s="68"/>
    </row>
    <row r="18" spans="2:26" s="16" customFormat="1" ht="15" hidden="1" customHeight="1" x14ac:dyDescent="0.25">
      <c r="B18" s="16" t="s">
        <v>6</v>
      </c>
      <c r="C18" s="18">
        <f>MAX(0,H18)</f>
        <v>10963.560000000005</v>
      </c>
      <c r="D18" s="21">
        <f>Tabelas!$B$4</f>
        <v>0.22500000000000001</v>
      </c>
      <c r="E18" s="17">
        <f>ROUND(D18*C18,2)</f>
        <v>2466.8000000000002</v>
      </c>
      <c r="G18" s="17">
        <f>Tabelas!$A$5-Tabelas!$A$4</f>
        <v>10963.560000000005</v>
      </c>
      <c r="H18" s="18">
        <f>IF(H19&lt;0,G18+H19,G18)</f>
        <v>10963.560000000005</v>
      </c>
      <c r="I18" s="18">
        <f>MAX(0,O18)</f>
        <v>0</v>
      </c>
      <c r="K18" s="21">
        <f>Tabelas!$B$4</f>
        <v>0.22500000000000001</v>
      </c>
      <c r="L18" s="17">
        <f>ROUND(K18*I18,2)</f>
        <v>0</v>
      </c>
      <c r="N18" s="17">
        <f>Tabelas!$A$5-Tabelas!$A$4</f>
        <v>10963.560000000005</v>
      </c>
      <c r="O18" s="18">
        <f>IF(O19&lt;0,N18+O19,N18)</f>
        <v>-45012.45</v>
      </c>
      <c r="Q18" s="32"/>
      <c r="R18" s="25"/>
      <c r="S18" s="25"/>
      <c r="T18" s="79"/>
      <c r="U18" s="25"/>
      <c r="V18" s="68"/>
    </row>
    <row r="19" spans="2:26" s="16" customFormat="1" ht="15" hidden="1" customHeight="1" x14ac:dyDescent="0.25">
      <c r="B19" s="16" t="s">
        <v>7</v>
      </c>
      <c r="C19" s="18">
        <f>MAX(0,G19)</f>
        <v>210075.6</v>
      </c>
      <c r="D19" s="21">
        <f>Tabelas!$B$5</f>
        <v>0.27500000000000002</v>
      </c>
      <c r="E19" s="17">
        <f>ROUND(D19*C19,2)</f>
        <v>57770.79</v>
      </c>
      <c r="G19" s="17">
        <f>D4+F39-Tabelas!$A$5</f>
        <v>210075.6</v>
      </c>
      <c r="H19" s="18">
        <f>G19</f>
        <v>210075.6</v>
      </c>
      <c r="I19" s="18">
        <f>MAX(0,N19)</f>
        <v>0</v>
      </c>
      <c r="K19" s="21">
        <f>Tabelas!$B$5</f>
        <v>0.27500000000000002</v>
      </c>
      <c r="L19" s="17">
        <f>ROUND(K19*I19,2)</f>
        <v>0</v>
      </c>
      <c r="N19" s="17">
        <f>K10+M11-Tabelas!$A$5</f>
        <v>-55976.01</v>
      </c>
      <c r="O19" s="18">
        <f>N19</f>
        <v>-55976.01</v>
      </c>
      <c r="Q19" s="32"/>
      <c r="R19" s="25"/>
      <c r="S19" s="25"/>
      <c r="T19" s="79"/>
      <c r="U19" s="25"/>
      <c r="V19" s="68"/>
    </row>
    <row r="20" spans="2:26" s="16" customFormat="1" ht="15" hidden="1" customHeight="1" x14ac:dyDescent="0.25">
      <c r="B20" s="16" t="s">
        <v>28</v>
      </c>
      <c r="D20" s="21"/>
      <c r="E20" s="17">
        <f>SUM(E15:E19)</f>
        <v>62731.91</v>
      </c>
      <c r="K20" s="21"/>
      <c r="L20" s="17">
        <f>SUM(L15:L19)</f>
        <v>0</v>
      </c>
      <c r="Q20" s="32"/>
      <c r="R20" s="25"/>
      <c r="S20" s="25"/>
      <c r="T20" s="79"/>
      <c r="U20" s="25"/>
      <c r="V20" s="68"/>
    </row>
    <row r="21" spans="2:26" s="29" customFormat="1" ht="3" customHeight="1" x14ac:dyDescent="0.25">
      <c r="D21" s="76"/>
      <c r="E21" s="75"/>
      <c r="K21" s="76"/>
      <c r="L21" s="75"/>
      <c r="Q21" s="34"/>
      <c r="R21" s="37"/>
      <c r="S21" s="37"/>
      <c r="T21" s="80"/>
      <c r="U21" s="37"/>
      <c r="V21" s="40"/>
    </row>
    <row r="22" spans="2:26" x14ac:dyDescent="0.25">
      <c r="B22" s="5" t="s">
        <v>34</v>
      </c>
      <c r="D22" s="42">
        <v>36000</v>
      </c>
      <c r="E22" s="17">
        <f>IF(D22="",0,D22)</f>
        <v>36000</v>
      </c>
      <c r="F22" s="17">
        <f>-MIN(E22,ROUND(D4*12%,2))</f>
        <v>-36000</v>
      </c>
      <c r="L22" s="16">
        <f>IF(K22="",0,K22)</f>
        <v>0</v>
      </c>
      <c r="M22" s="17">
        <f>-MIN(L22,ROUND(K4*12%,2))</f>
        <v>0</v>
      </c>
      <c r="Q22" s="30" t="s">
        <v>47</v>
      </c>
      <c r="R22" s="49"/>
      <c r="S22" s="31" t="s">
        <v>35</v>
      </c>
      <c r="T22" s="81"/>
      <c r="U22" s="31"/>
      <c r="V22" s="58"/>
    </row>
    <row r="23" spans="2:26" ht="3" customHeight="1" x14ac:dyDescent="0.25">
      <c r="B23" s="5"/>
      <c r="C23" s="5"/>
      <c r="D23" s="5"/>
      <c r="E23" s="5"/>
      <c r="F23" s="5"/>
      <c r="G23" s="5"/>
      <c r="H23" s="5"/>
      <c r="I23" s="5"/>
      <c r="J23" s="5"/>
      <c r="M23" s="17"/>
      <c r="Q23" s="30"/>
      <c r="R23" s="33"/>
      <c r="S23" s="31"/>
      <c r="T23" s="78"/>
      <c r="U23" s="31"/>
      <c r="V23" s="58"/>
    </row>
    <row r="24" spans="2:26" ht="15" customHeight="1" x14ac:dyDescent="0.25">
      <c r="B24" s="14" t="s">
        <v>53</v>
      </c>
      <c r="D24" s="13">
        <f>D4*12%</f>
        <v>36000</v>
      </c>
      <c r="F24" s="18"/>
      <c r="M24" s="18"/>
      <c r="Q24" s="30" t="s">
        <v>48</v>
      </c>
      <c r="R24" s="49"/>
      <c r="S24" s="31"/>
      <c r="T24" s="82">
        <f>V49-V51</f>
        <v>2.9951114507816401E-2</v>
      </c>
      <c r="U24" s="31"/>
      <c r="V24" s="58"/>
    </row>
    <row r="25" spans="2:26" ht="3" customHeight="1" x14ac:dyDescent="0.25">
      <c r="B25" s="8"/>
      <c r="F25" s="18"/>
      <c r="M25" s="18"/>
      <c r="Q25" s="30"/>
      <c r="R25" s="33"/>
      <c r="S25" s="31"/>
      <c r="T25" s="78"/>
      <c r="U25" s="31"/>
      <c r="V25" s="58"/>
    </row>
    <row r="26" spans="2:26" x14ac:dyDescent="0.25">
      <c r="B26" s="5" t="s">
        <v>12</v>
      </c>
      <c r="D26" s="42">
        <v>5000</v>
      </c>
      <c r="F26" s="17">
        <f>-D26</f>
        <v>-5000</v>
      </c>
      <c r="K26" s="43"/>
      <c r="M26" s="17">
        <f>-K26</f>
        <v>0</v>
      </c>
      <c r="Q26" s="34" t="s">
        <v>41</v>
      </c>
      <c r="R26" s="35">
        <f>IF(R4="","",VLOOKUP(R4,Tabelas!J1:K6,2))</f>
        <v>0.1</v>
      </c>
      <c r="S26" s="31"/>
      <c r="T26" s="78"/>
      <c r="U26" s="31"/>
      <c r="V26" s="40"/>
      <c r="W26" s="29"/>
      <c r="X26" s="29"/>
      <c r="Y26" s="29"/>
      <c r="Z26" s="29"/>
    </row>
    <row r="27" spans="2:26" ht="3" customHeight="1" x14ac:dyDescent="0.25">
      <c r="B27" s="5"/>
      <c r="C27" s="5"/>
      <c r="D27" s="5"/>
      <c r="E27" s="22"/>
      <c r="F27" s="22"/>
      <c r="G27" s="22"/>
      <c r="H27" s="22"/>
      <c r="I27" s="22"/>
      <c r="K27" s="5"/>
      <c r="L27" s="22"/>
      <c r="M27" s="22"/>
      <c r="N27" s="22"/>
      <c r="O27" s="22"/>
      <c r="P27" s="5"/>
      <c r="Q27" s="34"/>
      <c r="R27" s="36"/>
      <c r="S27" s="31"/>
      <c r="T27" s="78"/>
      <c r="U27" s="31"/>
      <c r="V27" s="40"/>
      <c r="W27" s="29"/>
      <c r="X27" s="29"/>
      <c r="Y27" s="29"/>
      <c r="Z27" s="29"/>
    </row>
    <row r="28" spans="2:26" x14ac:dyDescent="0.25">
      <c r="B28" s="5" t="s">
        <v>13</v>
      </c>
      <c r="D28" s="44">
        <v>3</v>
      </c>
      <c r="F28" s="17">
        <f>-D28*Tabelas!$E$1</f>
        <v>-6825.24</v>
      </c>
      <c r="K28" s="45">
        <v>1</v>
      </c>
      <c r="M28" s="17">
        <f>-K28*Tabelas!$E$1</f>
        <v>-2275.08</v>
      </c>
      <c r="Q28" s="34" t="s">
        <v>43</v>
      </c>
      <c r="R28" s="36">
        <f>K53</f>
        <v>8.1920300000000001E-2</v>
      </c>
      <c r="S28" s="37"/>
      <c r="T28" s="31"/>
      <c r="U28" s="31"/>
      <c r="V28" s="40"/>
      <c r="W28" s="29"/>
      <c r="X28" s="29"/>
      <c r="Y28" s="29"/>
      <c r="Z28" s="29"/>
    </row>
    <row r="29" spans="2:26" ht="3" customHeight="1" x14ac:dyDescent="0.25">
      <c r="B29" s="5"/>
      <c r="C29" s="5"/>
      <c r="D29" s="5"/>
      <c r="E29" s="22"/>
      <c r="F29" s="22"/>
      <c r="G29" s="22"/>
      <c r="H29" s="22"/>
      <c r="I29" s="22"/>
      <c r="K29" s="5"/>
      <c r="L29" s="22"/>
      <c r="M29" s="22"/>
      <c r="N29" s="22"/>
      <c r="O29" s="22"/>
      <c r="P29" s="5"/>
      <c r="Q29" s="34"/>
      <c r="R29" s="37"/>
      <c r="S29" s="37"/>
      <c r="T29" s="31"/>
      <c r="U29" s="31"/>
      <c r="V29" s="40"/>
      <c r="W29" s="29"/>
      <c r="X29" s="29"/>
      <c r="Y29" s="29"/>
      <c r="Z29" s="29"/>
    </row>
    <row r="30" spans="2:26" x14ac:dyDescent="0.25">
      <c r="B30" s="5" t="s">
        <v>33</v>
      </c>
      <c r="D30" s="44"/>
      <c r="K30" s="45"/>
      <c r="Q30" s="30" t="s">
        <v>46</v>
      </c>
      <c r="R30" s="38">
        <f>IF(R4="","",VLOOKUP(R4,Tabelas!G1:H4,2))</f>
        <v>0.15</v>
      </c>
      <c r="S30" s="37"/>
      <c r="T30" s="37"/>
      <c r="U30" s="37"/>
      <c r="V30" s="40"/>
      <c r="W30" s="29"/>
      <c r="X30" s="29"/>
      <c r="Y30" s="29"/>
      <c r="Z30" s="29"/>
    </row>
    <row r="31" spans="2:26" ht="3" customHeight="1" x14ac:dyDescent="0.25">
      <c r="B31" s="5"/>
      <c r="C31" s="5"/>
      <c r="D31" s="5"/>
      <c r="E31" s="22"/>
      <c r="F31" s="22"/>
      <c r="G31" s="22"/>
      <c r="H31" s="22"/>
      <c r="I31" s="22"/>
      <c r="K31" s="5"/>
      <c r="Q31" s="30"/>
      <c r="R31" s="31"/>
      <c r="S31" s="31"/>
      <c r="T31" s="37"/>
      <c r="U31" s="37"/>
      <c r="V31" s="40"/>
      <c r="W31" s="29"/>
      <c r="X31" s="29"/>
      <c r="Y31" s="29"/>
      <c r="Z31" s="29"/>
    </row>
    <row r="32" spans="2:26" x14ac:dyDescent="0.25">
      <c r="B32" s="5" t="s">
        <v>14</v>
      </c>
      <c r="D32" s="6">
        <f>SUM(E60:E84)</f>
        <v>7123</v>
      </c>
      <c r="E32" s="17">
        <f>IF(D32="",0,D32)</f>
        <v>7123</v>
      </c>
      <c r="F32" s="17">
        <f>-MIN(E32,ROUND((D28+D30+1)*Tabelas!$E$2,2))</f>
        <v>-7123</v>
      </c>
      <c r="K32" s="6">
        <f>SUM(L60:L84)</f>
        <v>0</v>
      </c>
      <c r="L32" s="16">
        <f>IF(K32="",0,K32)</f>
        <v>0</v>
      </c>
      <c r="M32" s="17">
        <f>-MIN(L32,ROUND((K28+K30+1)*Tabelas!$E$2,2))</f>
        <v>0</v>
      </c>
      <c r="Q32" s="30"/>
      <c r="R32" s="31"/>
      <c r="S32" s="31"/>
      <c r="T32" s="37"/>
      <c r="U32" s="37"/>
      <c r="V32" s="40"/>
      <c r="W32" s="29"/>
      <c r="X32" s="29"/>
      <c r="Y32" s="29"/>
      <c r="Z32" s="29"/>
    </row>
    <row r="33" spans="2:26" ht="3" customHeight="1" x14ac:dyDescent="0.25">
      <c r="B33" s="5"/>
      <c r="D33" s="6"/>
      <c r="F33" s="17"/>
      <c r="K33" s="6"/>
      <c r="M33" s="17"/>
      <c r="Q33" s="30"/>
      <c r="R33" s="31"/>
      <c r="S33" s="37"/>
      <c r="T33" s="37"/>
      <c r="U33" s="37"/>
      <c r="V33" s="40"/>
      <c r="W33" s="29"/>
      <c r="X33" s="29"/>
      <c r="Y33" s="29"/>
      <c r="Z33" s="29"/>
    </row>
    <row r="34" spans="2:26" x14ac:dyDescent="0.25">
      <c r="B34" s="5" t="s">
        <v>15</v>
      </c>
      <c r="D34" s="42">
        <v>15000</v>
      </c>
      <c r="F34" s="18">
        <f>-D34</f>
        <v>-15000</v>
      </c>
      <c r="K34" s="43">
        <v>30000</v>
      </c>
      <c r="M34" s="18">
        <f>-K34</f>
        <v>-30000</v>
      </c>
      <c r="Q34" s="34"/>
      <c r="R34" s="46" t="s">
        <v>25</v>
      </c>
      <c r="S34" s="46" t="s">
        <v>36</v>
      </c>
      <c r="T34" s="46" t="s">
        <v>38</v>
      </c>
      <c r="U34" s="46" t="s">
        <v>37</v>
      </c>
      <c r="V34" s="47" t="s">
        <v>51</v>
      </c>
      <c r="W34" s="29"/>
      <c r="X34" s="29"/>
      <c r="Y34" s="29"/>
      <c r="Z34" s="29"/>
    </row>
    <row r="35" spans="2:26" ht="3" customHeight="1" x14ac:dyDescent="0.25">
      <c r="B35" s="5"/>
      <c r="C35" s="5"/>
      <c r="D35" s="5"/>
      <c r="E35" s="22"/>
      <c r="F35" s="22"/>
      <c r="G35" s="22"/>
      <c r="H35" s="22"/>
      <c r="I35" s="22"/>
      <c r="K35" s="5"/>
      <c r="L35" s="22"/>
      <c r="M35" s="22"/>
      <c r="N35" s="22"/>
      <c r="O35" s="22"/>
      <c r="P35" s="5"/>
      <c r="Q35" s="34"/>
      <c r="R35" s="39"/>
      <c r="S35" s="39"/>
      <c r="T35" s="39"/>
      <c r="U35" s="39"/>
      <c r="V35" s="40"/>
      <c r="W35" s="29"/>
      <c r="X35" s="29"/>
      <c r="Y35" s="29"/>
      <c r="Z35" s="29"/>
    </row>
    <row r="36" spans="2:26" x14ac:dyDescent="0.25">
      <c r="B36" s="5" t="s">
        <v>16</v>
      </c>
      <c r="D36" s="42"/>
      <c r="F36" s="18">
        <f>-D36</f>
        <v>0</v>
      </c>
      <c r="K36" s="43"/>
      <c r="M36" s="18">
        <f>-K36</f>
        <v>0</v>
      </c>
      <c r="Q36" s="34" t="s">
        <v>39</v>
      </c>
      <c r="R36" s="56">
        <f>IF(D55-D51=0,"",D55-D51)</f>
        <v>9900</v>
      </c>
      <c r="S36" s="56">
        <f>IFERROR(R36*(1+R6-0.3%)^R4,"")</f>
        <v>24986.272400402002</v>
      </c>
      <c r="T36" s="56">
        <f>IFERROR((S36-R36)*R30,"")</f>
        <v>2262.9408600603001</v>
      </c>
      <c r="U36" s="56">
        <f>S36-T36</f>
        <v>22723.3315403417</v>
      </c>
      <c r="V36" s="77">
        <f>(U36/R36)^(1/R4)-1</f>
        <v>8.6634979228397357E-2</v>
      </c>
      <c r="W36" s="29"/>
      <c r="X36" s="29"/>
      <c r="Y36" s="29"/>
      <c r="Z36" s="29"/>
    </row>
    <row r="37" spans="2:26" ht="3" customHeight="1" x14ac:dyDescent="0.25">
      <c r="B37" s="5"/>
      <c r="C37" s="5"/>
      <c r="D37" s="5"/>
      <c r="E37" s="22"/>
      <c r="F37" s="22"/>
      <c r="G37" s="22"/>
      <c r="H37" s="22"/>
      <c r="I37" s="22"/>
      <c r="K37" s="5"/>
      <c r="L37" s="22"/>
      <c r="M37" s="22"/>
      <c r="N37" s="22"/>
      <c r="O37" s="22"/>
      <c r="P37" s="5"/>
      <c r="Q37" s="34"/>
      <c r="R37" s="37"/>
      <c r="S37" s="37"/>
      <c r="T37" s="37"/>
      <c r="U37" s="37"/>
      <c r="V37" s="40"/>
      <c r="W37" s="29"/>
      <c r="X37" s="29"/>
      <c r="Y37" s="29"/>
      <c r="Z37" s="29"/>
    </row>
    <row r="38" spans="2:26" s="16" customFormat="1" ht="15" hidden="1" customHeight="1" x14ac:dyDescent="0.25">
      <c r="B38" s="16" t="s">
        <v>32</v>
      </c>
      <c r="F38" s="17">
        <f>SUM(F22:F37)</f>
        <v>-69948.239999999991</v>
      </c>
      <c r="M38" s="17">
        <f>SUM(M26:M37)</f>
        <v>-32275.08</v>
      </c>
      <c r="Q38" s="34"/>
      <c r="R38" s="37"/>
      <c r="S38" s="37"/>
      <c r="T38" s="37"/>
      <c r="U38" s="37"/>
      <c r="V38" s="40"/>
      <c r="W38" s="29"/>
      <c r="X38" s="29"/>
      <c r="Y38" s="29"/>
      <c r="Z38" s="29"/>
    </row>
    <row r="39" spans="2:26" s="16" customFormat="1" ht="15" hidden="1" customHeight="1" x14ac:dyDescent="0.25">
      <c r="B39" s="16" t="s">
        <v>31</v>
      </c>
      <c r="F39" s="18">
        <f>SUM(F24:F37)</f>
        <v>-33948.239999999998</v>
      </c>
      <c r="M39" s="17"/>
      <c r="Q39" s="34"/>
      <c r="R39" s="37"/>
      <c r="S39" s="37"/>
      <c r="T39" s="37"/>
      <c r="U39" s="37"/>
      <c r="V39" s="40"/>
      <c r="W39" s="29"/>
      <c r="X39" s="29"/>
      <c r="Y39" s="29"/>
      <c r="Z39" s="29"/>
    </row>
    <row r="40" spans="2:26" x14ac:dyDescent="0.25">
      <c r="B40" s="5" t="s">
        <v>17</v>
      </c>
      <c r="D40" s="42"/>
      <c r="E40" s="16">
        <f>IF(D40="",0,D40)</f>
        <v>0</v>
      </c>
      <c r="F40" s="17">
        <f>-MIN(E40,ROUND(6%*E$13,2))</f>
        <v>0</v>
      </c>
      <c r="K40" s="43"/>
      <c r="L40" s="16">
        <f t="shared" ref="L40:L47" si="2">IF(K40="",0,K40)</f>
        <v>0</v>
      </c>
      <c r="M40" s="17">
        <f>-MIN(L40,ROUND(6%*L$13,2))</f>
        <v>0</v>
      </c>
      <c r="Q40" s="34" t="s">
        <v>40</v>
      </c>
      <c r="R40" s="65">
        <f>IF(D22=0,"",D22)</f>
        <v>36000</v>
      </c>
      <c r="S40" s="65">
        <f>IFERROR((R40*(1-R24))*(1+R6-R22)^R4,"")</f>
        <v>93374.728563600074</v>
      </c>
      <c r="T40" s="56">
        <f>IFERROR(S40*R26,"")</f>
        <v>9337.4728563600074</v>
      </c>
      <c r="U40" s="56">
        <f>IFERROR(S40-T40,"")</f>
        <v>84037.255707240067</v>
      </c>
      <c r="V40" s="77">
        <f>(U40/R40)^(1/R4)-1</f>
        <v>8.8471184026835958E-2</v>
      </c>
      <c r="W40" s="29"/>
      <c r="X40" s="29"/>
      <c r="Y40" s="29"/>
      <c r="Z40" s="29"/>
    </row>
    <row r="41" spans="2:26" ht="3" customHeight="1" x14ac:dyDescent="0.25">
      <c r="B41" s="5"/>
      <c r="C41" s="5"/>
      <c r="D41" s="5"/>
      <c r="E41" s="22"/>
      <c r="F41" s="22"/>
      <c r="G41" s="22"/>
      <c r="H41" s="22"/>
      <c r="I41" s="22"/>
      <c r="K41" s="5"/>
      <c r="L41" s="22"/>
      <c r="M41" s="22"/>
      <c r="N41" s="22"/>
      <c r="O41" s="22"/>
      <c r="P41" s="5"/>
      <c r="Q41" s="34"/>
      <c r="R41" s="65"/>
      <c r="S41" s="65"/>
      <c r="T41" s="39"/>
      <c r="U41" s="39"/>
      <c r="V41" s="40"/>
      <c r="W41" s="29"/>
      <c r="X41" s="29"/>
      <c r="Y41" s="29"/>
      <c r="Z41" s="29"/>
    </row>
    <row r="42" spans="2:26" x14ac:dyDescent="0.25">
      <c r="B42" s="5" t="s">
        <v>19</v>
      </c>
      <c r="D42" s="42"/>
      <c r="E42" s="16">
        <f t="shared" ref="E42:E44" si="3">IF(D42="",0,D42)</f>
        <v>0</v>
      </c>
      <c r="F42" s="17">
        <f>-MIN(E42,ROUND(1%*E$13,2))</f>
        <v>0</v>
      </c>
      <c r="K42" s="43"/>
      <c r="L42" s="16">
        <f t="shared" si="2"/>
        <v>0</v>
      </c>
      <c r="M42" s="17">
        <f>-MIN(L42,ROUND(1%*L$13,2))</f>
        <v>0</v>
      </c>
      <c r="Q42" s="34" t="s">
        <v>42</v>
      </c>
      <c r="R42" s="65"/>
      <c r="S42" s="65"/>
      <c r="T42" s="56">
        <f>IFERROR(S40*R28,"")</f>
        <v>7649.2857763486872</v>
      </c>
      <c r="U42" s="56">
        <f>IFERROR(S40-T42,"")</f>
        <v>85725.442787251392</v>
      </c>
      <c r="V42" s="77">
        <f>(U42/R40)^(1/R4)-1</f>
        <v>9.0638246920608845E-2</v>
      </c>
      <c r="W42" s="29"/>
      <c r="X42" s="29"/>
      <c r="Y42" s="29"/>
      <c r="Z42" s="29"/>
    </row>
    <row r="43" spans="2:26" ht="3" customHeight="1" x14ac:dyDescent="0.25">
      <c r="B43" s="5"/>
      <c r="C43" s="5"/>
      <c r="D43" s="5"/>
      <c r="E43" s="22"/>
      <c r="F43" s="22"/>
      <c r="G43" s="22"/>
      <c r="H43" s="22"/>
      <c r="I43" s="22"/>
      <c r="K43" s="5"/>
      <c r="L43" s="22"/>
      <c r="M43" s="22"/>
      <c r="N43" s="22"/>
      <c r="O43" s="22"/>
      <c r="P43" s="5"/>
      <c r="Q43" s="34"/>
      <c r="R43" s="41"/>
      <c r="S43" s="41"/>
      <c r="T43" s="39"/>
      <c r="U43" s="39"/>
      <c r="V43" s="40"/>
      <c r="W43" s="29"/>
      <c r="X43" s="29"/>
      <c r="Y43" s="29"/>
      <c r="Z43" s="29"/>
    </row>
    <row r="44" spans="2:26" ht="17.25" x14ac:dyDescent="0.3">
      <c r="B44" s="5" t="s">
        <v>20</v>
      </c>
      <c r="D44" s="42"/>
      <c r="E44" s="16">
        <f t="shared" si="3"/>
        <v>0</v>
      </c>
      <c r="F44" s="17">
        <f>-MIN(E44,ROUND(1%*E$13,2))</f>
        <v>0</v>
      </c>
      <c r="K44" s="43"/>
      <c r="L44" s="16">
        <f t="shared" si="2"/>
        <v>0</v>
      </c>
      <c r="M44" s="17">
        <f>-MIN(L44,ROUND(1%*L$13,2))</f>
        <v>0</v>
      </c>
      <c r="Q44" s="53" t="s">
        <v>49</v>
      </c>
      <c r="R44" s="41"/>
      <c r="S44" s="41"/>
      <c r="T44" s="56"/>
      <c r="U44" s="67">
        <f>IFERROR(U36+U40,"")</f>
        <v>106760.58724758177</v>
      </c>
      <c r="V44" s="69">
        <f>(U44/(D22))^(1/R4)-1</f>
        <v>0.11483564300461069</v>
      </c>
      <c r="W44" s="29"/>
      <c r="X44" s="29"/>
      <c r="Y44" s="29"/>
      <c r="Z44" s="29"/>
    </row>
    <row r="45" spans="2:26" s="16" customFormat="1" ht="15" hidden="1" customHeight="1" x14ac:dyDescent="0.25">
      <c r="B45" s="19" t="s">
        <v>18</v>
      </c>
      <c r="F45" s="18">
        <f>SUM(F40:F44)</f>
        <v>0</v>
      </c>
      <c r="M45" s="18">
        <f>SUM(M40:M44)</f>
        <v>0</v>
      </c>
      <c r="Q45" s="34"/>
      <c r="R45" s="39"/>
      <c r="S45" s="39"/>
      <c r="T45" s="39"/>
      <c r="U45" s="39"/>
      <c r="V45" s="68"/>
    </row>
    <row r="46" spans="2:26" s="16" customFormat="1" ht="15" hidden="1" customHeight="1" x14ac:dyDescent="0.25">
      <c r="B46" s="19" t="s">
        <v>29</v>
      </c>
      <c r="D46" s="20"/>
      <c r="F46" s="18">
        <f>E13+F45</f>
        <v>52831.91</v>
      </c>
      <c r="K46" s="20"/>
      <c r="L46" s="16">
        <f t="shared" si="2"/>
        <v>0</v>
      </c>
      <c r="M46" s="18">
        <f>L13+M45</f>
        <v>8192.0300000000007</v>
      </c>
      <c r="Q46" s="34"/>
      <c r="R46" s="39"/>
      <c r="S46" s="39"/>
      <c r="T46" s="39"/>
      <c r="U46" s="39"/>
      <c r="V46" s="68"/>
    </row>
    <row r="47" spans="2:26" s="16" customFormat="1" ht="15" hidden="1" customHeight="1" x14ac:dyDescent="0.25">
      <c r="B47" s="19" t="s">
        <v>30</v>
      </c>
      <c r="D47" s="20"/>
      <c r="F47" s="18">
        <f>E20+F45</f>
        <v>62731.91</v>
      </c>
      <c r="K47" s="20"/>
      <c r="L47" s="16">
        <f t="shared" si="2"/>
        <v>0</v>
      </c>
      <c r="Q47" s="34"/>
      <c r="R47" s="39"/>
      <c r="S47" s="39"/>
      <c r="T47" s="39"/>
      <c r="U47" s="39"/>
      <c r="V47" s="68"/>
    </row>
    <row r="48" spans="2:26" ht="3" customHeight="1" x14ac:dyDescent="0.25">
      <c r="D48" s="9"/>
      <c r="K48" s="9"/>
      <c r="Q48" s="30"/>
      <c r="R48" s="57"/>
      <c r="S48" s="57"/>
      <c r="T48" s="57"/>
      <c r="U48" s="57"/>
      <c r="V48" s="40"/>
      <c r="W48" s="29"/>
      <c r="X48" s="29"/>
      <c r="Y48" s="29"/>
      <c r="Z48" s="29"/>
    </row>
    <row r="49" spans="2:26" ht="17.25" x14ac:dyDescent="0.3">
      <c r="B49" s="5" t="s">
        <v>52</v>
      </c>
      <c r="D49" s="42">
        <v>500</v>
      </c>
      <c r="E49" s="16">
        <f>IF(D49="",0,D49)</f>
        <v>500</v>
      </c>
      <c r="F49" s="18">
        <f>-MIN(E49,Tabelas!$E$3,F46)</f>
        <v>-500</v>
      </c>
      <c r="K49" s="43"/>
      <c r="L49" s="16">
        <f>IF(K49="",0,K49)</f>
        <v>0</v>
      </c>
      <c r="M49" s="18">
        <f>-MIN(L49,Tabelas!$E$3,M46)</f>
        <v>0</v>
      </c>
      <c r="Q49" s="53" t="s">
        <v>50</v>
      </c>
      <c r="R49" s="41"/>
      <c r="S49" s="41"/>
      <c r="T49" s="56"/>
      <c r="U49" s="67">
        <f>IFERROR(U36+U42,"")</f>
        <v>108448.7743275931</v>
      </c>
      <c r="V49" s="69">
        <f>(U49/(D22))^(1/R4)-1</f>
        <v>0.11658609373621376</v>
      </c>
      <c r="W49" s="29"/>
      <c r="X49" s="29"/>
      <c r="Y49" s="29"/>
      <c r="Z49" s="29"/>
    </row>
    <row r="50" spans="2:26" ht="3" customHeight="1" x14ac:dyDescent="0.3">
      <c r="Q50" s="54"/>
      <c r="R50" s="39"/>
      <c r="S50" s="39"/>
      <c r="T50" s="39"/>
      <c r="U50" s="39"/>
      <c r="V50" s="70"/>
      <c r="W50" s="29"/>
      <c r="X50" s="29"/>
      <c r="Y50" s="29"/>
      <c r="Z50" s="29"/>
    </row>
    <row r="51" spans="2:26" ht="18.75" x14ac:dyDescent="0.3">
      <c r="B51" s="73" t="s">
        <v>54</v>
      </c>
      <c r="D51" s="50">
        <f>F46+F49</f>
        <v>52331.91</v>
      </c>
      <c r="E51" s="23"/>
      <c r="F51" s="23"/>
      <c r="G51" s="23"/>
      <c r="H51" s="23"/>
      <c r="I51" s="23"/>
      <c r="K51" s="50">
        <f>M46+M49</f>
        <v>8192.0300000000007</v>
      </c>
      <c r="Q51" s="53" t="s">
        <v>45</v>
      </c>
      <c r="R51" s="56">
        <f>IF(D22=0,"",D22)</f>
        <v>36000</v>
      </c>
      <c r="S51" s="56">
        <f>IFERROR(R51*(1+R6-0.3%)^R4,"")</f>
        <v>90859.172365098188</v>
      </c>
      <c r="T51" s="56">
        <f>IFERROR((S51-R51)*R30,"")</f>
        <v>8228.8758547647285</v>
      </c>
      <c r="U51" s="67">
        <f>IFERROR(S51-T51,"")</f>
        <v>82630.296510333457</v>
      </c>
      <c r="V51" s="72">
        <f>(U51/R51)^(1/R4)-1</f>
        <v>8.6634979228397357E-2</v>
      </c>
    </row>
    <row r="52" spans="2:26" ht="3" customHeight="1" x14ac:dyDescent="0.3">
      <c r="B52" s="73"/>
      <c r="D52" s="12"/>
      <c r="E52" s="23"/>
      <c r="F52" s="23"/>
      <c r="G52" s="23"/>
      <c r="H52" s="23"/>
      <c r="I52" s="23"/>
      <c r="K52" s="12"/>
      <c r="Q52" s="55"/>
      <c r="R52" s="57"/>
      <c r="S52" s="57"/>
      <c r="T52" s="57"/>
      <c r="U52" s="57"/>
      <c r="V52" s="71"/>
    </row>
    <row r="53" spans="2:26" ht="18.75" x14ac:dyDescent="0.3">
      <c r="B53" s="73" t="s">
        <v>55</v>
      </c>
      <c r="D53" s="51">
        <f>IFERROR(D51/D4,"")</f>
        <v>0.1744397</v>
      </c>
      <c r="E53" s="23"/>
      <c r="F53" s="23"/>
      <c r="G53" s="23"/>
      <c r="H53" s="23"/>
      <c r="I53" s="23"/>
      <c r="K53" s="51">
        <f>IFERROR(K51/K4,"")</f>
        <v>8.1920300000000001E-2</v>
      </c>
      <c r="Q53" s="30"/>
      <c r="R53" s="31"/>
      <c r="S53" s="31"/>
      <c r="T53" s="31"/>
      <c r="U53" s="31"/>
      <c r="V53" s="58"/>
    </row>
    <row r="54" spans="2:26" ht="3" customHeight="1" x14ac:dyDescent="0.3">
      <c r="B54" s="73"/>
      <c r="D54" s="15"/>
      <c r="E54" s="23"/>
      <c r="F54" s="23"/>
      <c r="G54" s="23"/>
      <c r="H54" s="23"/>
      <c r="I54" s="23"/>
      <c r="K54" s="15"/>
      <c r="Q54" s="30"/>
      <c r="R54" s="31"/>
      <c r="S54" s="31"/>
      <c r="T54" s="31"/>
      <c r="U54" s="31"/>
      <c r="V54" s="58"/>
    </row>
    <row r="55" spans="2:26" ht="19.5" thickBot="1" x14ac:dyDescent="0.35">
      <c r="B55" s="73" t="s">
        <v>56</v>
      </c>
      <c r="D55" s="52">
        <f>F47+F49</f>
        <v>62231.91</v>
      </c>
      <c r="E55" s="23"/>
      <c r="F55" s="23"/>
      <c r="G55" s="23"/>
      <c r="H55" s="23"/>
      <c r="I55" s="23"/>
      <c r="K55" s="15"/>
      <c r="Q55" s="62" t="str">
        <f>IF(AND(U44="",U49="",U51=""),"",IF(AND(U44&gt;U49,U44&gt;U51),"A melhor alternativa é investir em PGBL com regime regressivo",IF(AND(U49&gt;U44,U49&gt;U51),"A melhor alternativa é investir em PGBL com regime progressivo","A melhor alternativa é investir no Tesouro Direto")))</f>
        <v>A melhor alternativa é investir em PGBL com regime progressivo</v>
      </c>
      <c r="R55" s="63"/>
      <c r="S55" s="63"/>
      <c r="T55" s="63"/>
      <c r="U55" s="63"/>
      <c r="V55" s="64"/>
    </row>
    <row r="56" spans="2:26" ht="3" customHeight="1" x14ac:dyDescent="0.3">
      <c r="B56" s="73"/>
      <c r="D56" s="15"/>
      <c r="E56" s="23"/>
      <c r="F56" s="23"/>
      <c r="G56" s="23"/>
      <c r="H56" s="23"/>
      <c r="I56" s="23"/>
      <c r="K56" s="15"/>
      <c r="P56" s="31"/>
      <c r="Q56" s="37"/>
      <c r="R56" s="37"/>
      <c r="S56" s="37"/>
      <c r="T56" s="37"/>
      <c r="U56" s="37"/>
      <c r="V56" s="57"/>
      <c r="W56" s="31"/>
    </row>
    <row r="57" spans="2:26" ht="18.75" x14ac:dyDescent="0.3">
      <c r="B57" s="73" t="s">
        <v>57</v>
      </c>
      <c r="D57" s="51">
        <f>IFERROR(D55/D4,"")</f>
        <v>0.2074397</v>
      </c>
      <c r="E57" s="23"/>
      <c r="F57" s="23"/>
      <c r="G57" s="23"/>
      <c r="H57" s="23"/>
      <c r="I57" s="23"/>
      <c r="K57" s="15"/>
    </row>
    <row r="58" spans="2:26" x14ac:dyDescent="0.25">
      <c r="Q58" s="31"/>
      <c r="R58" s="31"/>
      <c r="S58" s="31"/>
      <c r="T58" s="31"/>
      <c r="U58" s="31"/>
    </row>
    <row r="59" spans="2:26" x14ac:dyDescent="0.25">
      <c r="B59" s="11" t="s">
        <v>23</v>
      </c>
    </row>
    <row r="60" spans="2:26" x14ac:dyDescent="0.25">
      <c r="B60" s="5" t="s">
        <v>60</v>
      </c>
      <c r="C60" s="5"/>
      <c r="D60" s="10"/>
      <c r="E60" s="17">
        <f>IF(D60&gt;Tabelas!$E$2,Tabelas!$E$2,D60)</f>
        <v>0</v>
      </c>
      <c r="F60" s="16">
        <v>1</v>
      </c>
      <c r="K60" s="10"/>
      <c r="L60" s="17">
        <f>IF(K60&gt;Tabelas!$E$2,Tabelas!$E$2,K60)</f>
        <v>0</v>
      </c>
      <c r="M60" s="16">
        <v>1</v>
      </c>
    </row>
    <row r="61" spans="2:26" ht="3" customHeight="1" x14ac:dyDescent="0.25">
      <c r="B61" s="5"/>
      <c r="C61" s="5"/>
      <c r="D61" s="10"/>
      <c r="E61" s="17"/>
      <c r="K61" s="10"/>
      <c r="L61" s="17"/>
    </row>
    <row r="62" spans="2:26" x14ac:dyDescent="0.25">
      <c r="B62" s="5" t="str">
        <f>IF(OR(F62&gt;0,M62&gt;0),"Gastos do dependente/alimentando "&amp;TEXT(G62,0),"")</f>
        <v>Gastos do dependente/alimentando 1</v>
      </c>
      <c r="C62" s="5"/>
      <c r="D62" s="10">
        <v>10000</v>
      </c>
      <c r="E62" s="17">
        <f>IF(D62&gt;Tabelas!$E$2,Tabelas!$E$2,D62)</f>
        <v>3561.5</v>
      </c>
      <c r="F62" s="16">
        <f>IF(($D$28+$D$30)&gt;=G62,G62,0)</f>
        <v>1</v>
      </c>
      <c r="G62" s="16">
        <v>1</v>
      </c>
      <c r="K62" s="10"/>
      <c r="L62" s="17">
        <f>IF(K62&gt;Tabelas!$E$2,Tabelas!$E$2,K62)</f>
        <v>0</v>
      </c>
      <c r="M62" s="16">
        <f>IF(($K$28+$K$30)&gt;=G62,G62,0)</f>
        <v>1</v>
      </c>
    </row>
    <row r="63" spans="2:26" ht="3" customHeight="1" x14ac:dyDescent="0.25">
      <c r="B63" s="5"/>
      <c r="C63" s="5"/>
      <c r="D63" s="5"/>
      <c r="E63" s="22"/>
      <c r="F63" s="22"/>
      <c r="G63" s="22"/>
      <c r="H63" s="22"/>
      <c r="I63" s="22"/>
      <c r="K63" s="5"/>
      <c r="L63" s="22"/>
      <c r="M63" s="22"/>
      <c r="N63" s="22"/>
      <c r="O63" s="22"/>
    </row>
    <row r="64" spans="2:26" x14ac:dyDescent="0.25">
      <c r="B64" s="5" t="str">
        <f>IF(OR(F64&gt;0,M64&gt;0),"Gastos do dependente/alimentando "&amp;TEXT(G64,0),"")</f>
        <v>Gastos do dependente/alimentando 2</v>
      </c>
      <c r="C64" s="5"/>
      <c r="D64" s="10">
        <v>5000</v>
      </c>
      <c r="E64" s="17">
        <f>IF(D64&gt;Tabelas!$E$2,Tabelas!$E$2,D64)</f>
        <v>3561.5</v>
      </c>
      <c r="F64" s="16">
        <f>IF(($D$28+$D$30)&gt;=G64,G64,0)</f>
        <v>2</v>
      </c>
      <c r="G64" s="16">
        <v>2</v>
      </c>
      <c r="K64" s="10"/>
      <c r="L64" s="17">
        <f>IF(K64&gt;Tabelas!$E$2,Tabelas!$E$2,K64)</f>
        <v>0</v>
      </c>
      <c r="M64" s="16">
        <f>IF(($K$28+$K$30)&gt;=G64,G64,0)</f>
        <v>0</v>
      </c>
    </row>
    <row r="65" spans="2:15" ht="3" customHeight="1" x14ac:dyDescent="0.25">
      <c r="B65" s="5"/>
      <c r="C65" s="5"/>
      <c r="D65" s="5"/>
      <c r="E65" s="22"/>
      <c r="F65" s="22"/>
      <c r="G65" s="22"/>
      <c r="H65" s="22"/>
      <c r="I65" s="22"/>
      <c r="K65" s="5"/>
      <c r="L65" s="22"/>
      <c r="M65" s="22"/>
      <c r="N65" s="22"/>
      <c r="O65" s="22"/>
    </row>
    <row r="66" spans="2:15" x14ac:dyDescent="0.25">
      <c r="B66" s="5" t="str">
        <f>IF(OR(F66&gt;0,M66&gt;0),"Gastos do dependente/alimentando "&amp;TEXT(G66,0),"")</f>
        <v>Gastos do dependente/alimentando 3</v>
      </c>
      <c r="C66" s="5"/>
      <c r="D66" s="10"/>
      <c r="E66" s="17">
        <f>IF(D66&gt;Tabelas!$E$2,Tabelas!$E$2,D66)</f>
        <v>0</v>
      </c>
      <c r="F66" s="16">
        <f>IF(($D$28+$D$30)&gt;=G66,G66,0)</f>
        <v>3</v>
      </c>
      <c r="G66" s="16">
        <v>3</v>
      </c>
      <c r="K66" s="10"/>
      <c r="L66" s="17">
        <f>IF(K66&gt;Tabelas!$E$2,Tabelas!$E$2,K66)</f>
        <v>0</v>
      </c>
      <c r="M66" s="16">
        <f>IF(($K$28+$K$30)&gt;=G66,G66,0)</f>
        <v>0</v>
      </c>
    </row>
    <row r="67" spans="2:15" ht="3" customHeight="1" x14ac:dyDescent="0.25">
      <c r="B67" s="5"/>
      <c r="C67" s="5"/>
      <c r="D67" s="5"/>
      <c r="E67" s="22"/>
      <c r="F67" s="22"/>
      <c r="G67" s="22"/>
      <c r="H67" s="22"/>
      <c r="I67" s="22" t="str">
        <f t="shared" ref="I67:I83" si="4">IF(($K$28+$K$30)&gt;=1,"Gastos com educação do dependente/alimentando 1","")</f>
        <v>Gastos com educação do dependente/alimentando 1</v>
      </c>
      <c r="K67" s="5"/>
      <c r="L67" s="22"/>
      <c r="M67" s="22"/>
      <c r="N67" s="22"/>
      <c r="O67" s="22"/>
    </row>
    <row r="68" spans="2:15" x14ac:dyDescent="0.25">
      <c r="B68" s="5" t="str">
        <f>IF(OR(F68&gt;0,M68&gt;0),"Gastos do dependente/alimentando "&amp;TEXT(G68,0),"")</f>
        <v/>
      </c>
      <c r="C68" s="5"/>
      <c r="D68" s="10"/>
      <c r="E68" s="17">
        <f>IF(D68&gt;Tabelas!$E$2,Tabelas!$E$2,D68)</f>
        <v>0</v>
      </c>
      <c r="F68" s="16">
        <f>IF(($D$28+$D$30)&gt;=G68,G68,0)</f>
        <v>0</v>
      </c>
      <c r="G68" s="16">
        <v>4</v>
      </c>
      <c r="K68" s="10"/>
      <c r="L68" s="17">
        <f>IF(K68&gt;Tabelas!$E$2,Tabelas!$E$2,K68)</f>
        <v>0</v>
      </c>
      <c r="M68" s="16">
        <f>IF(($K$28+$K$30)&gt;=G68,G68,0)</f>
        <v>0</v>
      </c>
    </row>
    <row r="69" spans="2:15" ht="3" customHeight="1" x14ac:dyDescent="0.25">
      <c r="B69" s="5"/>
      <c r="C69" s="5"/>
      <c r="D69" s="5"/>
      <c r="E69" s="22"/>
      <c r="F69" s="22"/>
      <c r="G69" s="22"/>
      <c r="H69" s="22"/>
      <c r="I69" s="22" t="str">
        <f t="shared" si="4"/>
        <v>Gastos com educação do dependente/alimentando 1</v>
      </c>
      <c r="K69" s="5"/>
      <c r="L69" s="22"/>
      <c r="M69" s="22"/>
      <c r="N69" s="22"/>
      <c r="O69" s="22"/>
    </row>
    <row r="70" spans="2:15" x14ac:dyDescent="0.25">
      <c r="B70" s="5" t="str">
        <f>IF(OR(F70&gt;0,M70&gt;0),"Gastos do dependente/alimentando "&amp;TEXT(G70,0),"")</f>
        <v/>
      </c>
      <c r="C70" s="5"/>
      <c r="D70" s="10"/>
      <c r="E70" s="17">
        <f>IF(D70&gt;Tabelas!$E$2,Tabelas!$E$2,D70)</f>
        <v>0</v>
      </c>
      <c r="F70" s="16">
        <f>IF(($D$28+$D$30)&gt;=G70,G70,0)</f>
        <v>0</v>
      </c>
      <c r="G70" s="16">
        <v>5</v>
      </c>
      <c r="K70" s="10"/>
      <c r="L70" s="17">
        <f>IF(K70&gt;Tabelas!$E$2,Tabelas!$E$2,K70)</f>
        <v>0</v>
      </c>
      <c r="M70" s="16">
        <f>IF(($K$28+$K$30)&gt;=G70,G70,0)</f>
        <v>0</v>
      </c>
    </row>
    <row r="71" spans="2:15" ht="3" customHeight="1" x14ac:dyDescent="0.25">
      <c r="B71" s="5"/>
      <c r="C71" s="5"/>
      <c r="D71" s="5"/>
      <c r="E71" s="22"/>
      <c r="F71" s="22"/>
      <c r="G71" s="22"/>
      <c r="H71" s="22"/>
      <c r="I71" s="22" t="str">
        <f t="shared" si="4"/>
        <v>Gastos com educação do dependente/alimentando 1</v>
      </c>
      <c r="K71" s="5"/>
      <c r="L71" s="22"/>
      <c r="M71" s="22"/>
      <c r="N71" s="22"/>
      <c r="O71" s="22"/>
    </row>
    <row r="72" spans="2:15" x14ac:dyDescent="0.25">
      <c r="B72" s="5" t="str">
        <f>IF(OR(F72&gt;0,M72&gt;0),"Gastos do dependente/alimentando "&amp;TEXT(G72,0),"")</f>
        <v/>
      </c>
      <c r="C72" s="5"/>
      <c r="D72" s="10"/>
      <c r="E72" s="17">
        <f>IF(D72&gt;Tabelas!$E$2,Tabelas!$E$2,D72)</f>
        <v>0</v>
      </c>
      <c r="F72" s="16">
        <f>IF(($D$28+$D$30)&gt;=G72,G72,0)</f>
        <v>0</v>
      </c>
      <c r="G72" s="16">
        <v>6</v>
      </c>
      <c r="K72" s="10"/>
      <c r="L72" s="17">
        <f>IF(K72&gt;Tabelas!$E$2,Tabelas!$E$2,K72)</f>
        <v>0</v>
      </c>
      <c r="M72" s="16">
        <f>IF(($K$28+$K$30)&gt;=G72,G72,0)</f>
        <v>0</v>
      </c>
    </row>
    <row r="73" spans="2:15" ht="3" customHeight="1" x14ac:dyDescent="0.25">
      <c r="B73" s="5"/>
      <c r="C73" s="5"/>
      <c r="D73" s="5"/>
      <c r="E73" s="22"/>
      <c r="F73" s="22"/>
      <c r="G73" s="22"/>
      <c r="H73" s="22"/>
      <c r="I73" s="22" t="str">
        <f t="shared" si="4"/>
        <v>Gastos com educação do dependente/alimentando 1</v>
      </c>
      <c r="K73" s="5"/>
      <c r="L73" s="22"/>
      <c r="M73" s="22"/>
      <c r="N73" s="22"/>
      <c r="O73" s="22"/>
    </row>
    <row r="74" spans="2:15" x14ac:dyDescent="0.25">
      <c r="B74" s="5" t="str">
        <f>IF(OR(F74&gt;0,M74&gt;0),"Gastos do dependente/alimentando "&amp;TEXT(G74,0),"")</f>
        <v/>
      </c>
      <c r="C74" s="5"/>
      <c r="D74" s="10"/>
      <c r="E74" s="17">
        <f>IF(D74&gt;Tabelas!$E$2,Tabelas!$E$2,D74)</f>
        <v>0</v>
      </c>
      <c r="F74" s="16">
        <f>IF(($D$28+$D$30)&gt;=G74,G74,0)</f>
        <v>0</v>
      </c>
      <c r="G74" s="16">
        <v>7</v>
      </c>
      <c r="K74" s="10"/>
      <c r="L74" s="17">
        <f>IF(K74&gt;Tabelas!$E$2,Tabelas!$E$2,K74)</f>
        <v>0</v>
      </c>
      <c r="M74" s="16">
        <f>IF(($K$28+$K$30)&gt;=G74,G74,0)</f>
        <v>0</v>
      </c>
    </row>
    <row r="75" spans="2:15" ht="3" customHeight="1" x14ac:dyDescent="0.25">
      <c r="B75" s="5"/>
      <c r="C75" s="5"/>
      <c r="D75" s="5"/>
      <c r="E75" s="22"/>
      <c r="F75" s="22"/>
      <c r="G75" s="22"/>
      <c r="H75" s="22"/>
      <c r="I75" s="22" t="str">
        <f t="shared" si="4"/>
        <v>Gastos com educação do dependente/alimentando 1</v>
      </c>
      <c r="K75" s="5"/>
      <c r="L75" s="22"/>
      <c r="M75" s="22"/>
      <c r="N75" s="22"/>
      <c r="O75" s="22"/>
    </row>
    <row r="76" spans="2:15" x14ac:dyDescent="0.25">
      <c r="B76" s="5" t="str">
        <f>IF(OR(F76&gt;0,M76&gt;0),"Gastos do dependente/alimentando "&amp;TEXT(G76,0),"")</f>
        <v/>
      </c>
      <c r="C76" s="5"/>
      <c r="D76" s="10"/>
      <c r="E76" s="17">
        <f>IF(D76&gt;Tabelas!$E$2,Tabelas!$E$2,D76)</f>
        <v>0</v>
      </c>
      <c r="F76" s="16">
        <f>IF(($D$28+$D$30)&gt;=G76,G76,0)</f>
        <v>0</v>
      </c>
      <c r="G76" s="16">
        <v>8</v>
      </c>
      <c r="K76" s="10"/>
      <c r="L76" s="17">
        <f>IF(K76&gt;Tabelas!$E$2,Tabelas!$E$2,K76)</f>
        <v>0</v>
      </c>
      <c r="M76" s="16">
        <f>IF(($K$28+$K$30)&gt;=G76,G76,0)</f>
        <v>0</v>
      </c>
    </row>
    <row r="77" spans="2:15" ht="3" customHeight="1" x14ac:dyDescent="0.25">
      <c r="B77" s="5"/>
      <c r="C77" s="5"/>
      <c r="D77" s="5"/>
      <c r="E77" s="22"/>
      <c r="F77" s="22"/>
      <c r="G77" s="22"/>
      <c r="H77" s="22"/>
      <c r="I77" s="22" t="str">
        <f t="shared" si="4"/>
        <v>Gastos com educação do dependente/alimentando 1</v>
      </c>
      <c r="K77" s="5"/>
      <c r="L77" s="22"/>
      <c r="M77" s="22"/>
      <c r="N77" s="22"/>
      <c r="O77" s="22"/>
    </row>
    <row r="78" spans="2:15" x14ac:dyDescent="0.25">
      <c r="B78" s="5" t="str">
        <f>IF(OR(F78&gt;0,M78&gt;0),"Gastos do dependente/alimentando "&amp;TEXT(G78,0),"")</f>
        <v/>
      </c>
      <c r="C78" s="5"/>
      <c r="D78" s="10"/>
      <c r="E78" s="17">
        <f>IF(D78&gt;Tabelas!$E$2,Tabelas!$E$2,D78)</f>
        <v>0</v>
      </c>
      <c r="F78" s="16">
        <f>IF(($D$28+$D$30)&gt;=G78,G78,0)</f>
        <v>0</v>
      </c>
      <c r="G78" s="16">
        <v>9</v>
      </c>
      <c r="K78" s="10"/>
      <c r="L78" s="17">
        <f>IF(K78&gt;Tabelas!$E$2,Tabelas!$E$2,K78)</f>
        <v>0</v>
      </c>
      <c r="M78" s="16">
        <f>IF(($K$28+$K$30)&gt;=G78,G78,0)</f>
        <v>0</v>
      </c>
    </row>
    <row r="79" spans="2:15" ht="3" customHeight="1" x14ac:dyDescent="0.25">
      <c r="B79" s="5"/>
      <c r="C79" s="5"/>
      <c r="D79" s="5"/>
      <c r="E79" s="22"/>
      <c r="F79" s="22"/>
      <c r="G79" s="22"/>
      <c r="H79" s="22"/>
      <c r="I79" s="22" t="str">
        <f t="shared" si="4"/>
        <v>Gastos com educação do dependente/alimentando 1</v>
      </c>
      <c r="K79" s="5"/>
      <c r="L79" s="22"/>
      <c r="M79" s="22"/>
      <c r="N79" s="22"/>
      <c r="O79" s="22"/>
    </row>
    <row r="80" spans="2:15" x14ac:dyDescent="0.25">
      <c r="B80" s="5" t="str">
        <f>IF(OR(F80&gt;0,M80&gt;0),"Gastos do dependente/alimentando "&amp;TEXT(G80,0),"")</f>
        <v/>
      </c>
      <c r="C80" s="5"/>
      <c r="D80" s="10"/>
      <c r="E80" s="17">
        <f>IF(D80&gt;Tabelas!$E$2,Tabelas!$E$2,D80)</f>
        <v>0</v>
      </c>
      <c r="F80" s="16">
        <f>IF(($D$28+$D$30)&gt;=G80,G80,0)</f>
        <v>0</v>
      </c>
      <c r="G80" s="16">
        <v>10</v>
      </c>
      <c r="K80" s="10"/>
      <c r="L80" s="17">
        <f>IF(K80&gt;Tabelas!$E$2,Tabelas!$E$2,K80)</f>
        <v>0</v>
      </c>
      <c r="M80" s="16">
        <f>IF(($K$28+$K$30)&gt;=G80,G80,0)</f>
        <v>0</v>
      </c>
    </row>
    <row r="81" spans="2:15" ht="3" customHeight="1" x14ac:dyDescent="0.25">
      <c r="B81" s="5"/>
      <c r="C81" s="5"/>
      <c r="D81" s="5"/>
      <c r="E81" s="22"/>
      <c r="F81" s="22"/>
      <c r="G81" s="22"/>
      <c r="H81" s="22"/>
      <c r="I81" s="22" t="str">
        <f t="shared" si="4"/>
        <v>Gastos com educação do dependente/alimentando 1</v>
      </c>
      <c r="K81" s="5"/>
      <c r="L81" s="22"/>
      <c r="M81" s="22"/>
      <c r="N81" s="22"/>
      <c r="O81" s="22"/>
    </row>
    <row r="82" spans="2:15" x14ac:dyDescent="0.25">
      <c r="B82" s="5" t="str">
        <f>IF(OR(F82&gt;0,M82&gt;0),"Gastos do dependente/alimentando "&amp;TEXT(G82,0),"")</f>
        <v/>
      </c>
      <c r="C82" s="5"/>
      <c r="D82" s="10"/>
      <c r="E82" s="17">
        <f>IF(D82&gt;Tabelas!$E$2,Tabelas!$E$2,D82)</f>
        <v>0</v>
      </c>
      <c r="F82" s="16">
        <f>IF(($D$28+$D$30)&gt;=G82,G82,0)</f>
        <v>0</v>
      </c>
      <c r="G82" s="16">
        <v>11</v>
      </c>
      <c r="K82" s="10"/>
      <c r="L82" s="17">
        <f>IF(K82&gt;Tabelas!$E$2,Tabelas!$E$2,K82)</f>
        <v>0</v>
      </c>
      <c r="M82" s="16">
        <f>IF(($K$28+$K$30)&gt;=G82,G82,0)</f>
        <v>0</v>
      </c>
    </row>
    <row r="83" spans="2:15" ht="3" customHeight="1" x14ac:dyDescent="0.25">
      <c r="B83" s="5"/>
      <c r="C83" s="5"/>
      <c r="D83" s="5"/>
      <c r="E83" s="22"/>
      <c r="F83" s="22"/>
      <c r="G83" s="22"/>
      <c r="H83" s="22"/>
      <c r="I83" s="22" t="str">
        <f t="shared" si="4"/>
        <v>Gastos com educação do dependente/alimentando 1</v>
      </c>
      <c r="K83" s="5"/>
      <c r="L83" s="22"/>
      <c r="M83" s="22"/>
      <c r="N83" s="22"/>
      <c r="O83" s="22"/>
    </row>
    <row r="84" spans="2:15" x14ac:dyDescent="0.25">
      <c r="B84" s="5" t="str">
        <f>IF(OR(F84&gt;0,M84&gt;0),"Gastos do dependente/alimentando "&amp;TEXT(G84,0),"")</f>
        <v/>
      </c>
      <c r="C84" s="5"/>
      <c r="D84" s="10"/>
      <c r="E84" s="17">
        <f>IF(D84&gt;Tabelas!$E$2,Tabelas!$E$2,D84)</f>
        <v>0</v>
      </c>
      <c r="F84" s="16">
        <f>IF(($D$28+$D$30)&gt;=G84,G84,0)</f>
        <v>0</v>
      </c>
      <c r="G84" s="16">
        <v>12</v>
      </c>
      <c r="K84" s="10"/>
      <c r="L84" s="17">
        <f>IF(K84&gt;Tabelas!$E$2,Tabelas!$E$2,K84)</f>
        <v>0</v>
      </c>
      <c r="M84" s="16">
        <f>IF(($K$28+$K$30)&gt;=G84,G84,0)</f>
        <v>0</v>
      </c>
    </row>
    <row r="85" spans="2:15" x14ac:dyDescent="0.25">
      <c r="C85" s="5"/>
    </row>
  </sheetData>
  <sheetProtection algorithmName="SHA-512" hashValue="N1yhWPKFnrXcobgMf0dAqldnQ/jWLzx0ZqwmN6RHMv1bJVGeouj6hEz+JNmEMbzx/fjvucDc/EIfxcbwqL7PfQ==" saltValue="VLm6EPeKvurYkRgPklvLOg==" spinCount="100000" sheet="1" objects="1" scenarios="1" selectLockedCells="1"/>
  <mergeCells count="4">
    <mergeCell ref="Q55:V55"/>
    <mergeCell ref="Q2:V2"/>
    <mergeCell ref="R40:R42"/>
    <mergeCell ref="S40:S42"/>
  </mergeCells>
  <conditionalFormatting sqref="D60:D61">
    <cfRule type="expression" dxfId="26" priority="89">
      <formula>F60&lt;&gt;0</formula>
    </cfRule>
  </conditionalFormatting>
  <conditionalFormatting sqref="K61">
    <cfRule type="expression" dxfId="25" priority="87">
      <formula>M61&lt;&gt;0</formula>
    </cfRule>
  </conditionalFormatting>
  <conditionalFormatting sqref="D62">
    <cfRule type="expression" dxfId="24" priority="46">
      <formula>F62&lt;&gt;0</formula>
    </cfRule>
  </conditionalFormatting>
  <conditionalFormatting sqref="D64">
    <cfRule type="expression" dxfId="23" priority="45">
      <formula>F64&lt;&gt;0</formula>
    </cfRule>
  </conditionalFormatting>
  <conditionalFormatting sqref="D66">
    <cfRule type="expression" dxfId="22" priority="44">
      <formula>F66&lt;&gt;0</formula>
    </cfRule>
  </conditionalFormatting>
  <conditionalFormatting sqref="D68">
    <cfRule type="expression" dxfId="21" priority="22">
      <formula>F68&lt;&gt;0</formula>
    </cfRule>
  </conditionalFormatting>
  <conditionalFormatting sqref="D70">
    <cfRule type="expression" dxfId="20" priority="21">
      <formula>F70&lt;&gt;0</formula>
    </cfRule>
  </conditionalFormatting>
  <conditionalFormatting sqref="D72">
    <cfRule type="expression" dxfId="19" priority="20">
      <formula>F72&lt;&gt;0</formula>
    </cfRule>
  </conditionalFormatting>
  <conditionalFormatting sqref="D74">
    <cfRule type="expression" dxfId="18" priority="19">
      <formula>F74&lt;&gt;0</formula>
    </cfRule>
  </conditionalFormatting>
  <conditionalFormatting sqref="D76">
    <cfRule type="expression" dxfId="17" priority="18">
      <formula>F76&lt;&gt;0</formula>
    </cfRule>
  </conditionalFormatting>
  <conditionalFormatting sqref="D78">
    <cfRule type="expression" dxfId="16" priority="17">
      <formula>F78&lt;&gt;0</formula>
    </cfRule>
  </conditionalFormatting>
  <conditionalFormatting sqref="D80">
    <cfRule type="expression" dxfId="15" priority="16">
      <formula>F80&lt;&gt;0</formula>
    </cfRule>
  </conditionalFormatting>
  <conditionalFormatting sqref="D82">
    <cfRule type="expression" dxfId="14" priority="15">
      <formula>F82&lt;&gt;0</formula>
    </cfRule>
  </conditionalFormatting>
  <conditionalFormatting sqref="D84">
    <cfRule type="expression" dxfId="13" priority="14">
      <formula>F84&lt;&gt;0</formula>
    </cfRule>
  </conditionalFormatting>
  <conditionalFormatting sqref="K60">
    <cfRule type="expression" dxfId="12" priority="13">
      <formula>M60&lt;&gt;0</formula>
    </cfRule>
  </conditionalFormatting>
  <conditionalFormatting sqref="K62">
    <cfRule type="expression" dxfId="11" priority="12">
      <formula>M62&lt;&gt;0</formula>
    </cfRule>
  </conditionalFormatting>
  <conditionalFormatting sqref="K64">
    <cfRule type="expression" dxfId="10" priority="11">
      <formula>M64&lt;&gt;0</formula>
    </cfRule>
  </conditionalFormatting>
  <conditionalFormatting sqref="K66">
    <cfRule type="expression" dxfId="9" priority="10">
      <formula>M66&lt;&gt;0</formula>
    </cfRule>
  </conditionalFormatting>
  <conditionalFormatting sqref="K68">
    <cfRule type="expression" dxfId="8" priority="9">
      <formula>M68&lt;&gt;0</formula>
    </cfRule>
  </conditionalFormatting>
  <conditionalFormatting sqref="K70">
    <cfRule type="expression" dxfId="7" priority="8">
      <formula>M70&lt;&gt;0</formula>
    </cfRule>
  </conditionalFormatting>
  <conditionalFormatting sqref="K72">
    <cfRule type="expression" dxfId="6" priority="7">
      <formula>M72&lt;&gt;0</formula>
    </cfRule>
  </conditionalFormatting>
  <conditionalFormatting sqref="K74">
    <cfRule type="expression" dxfId="5" priority="6">
      <formula>M74&lt;&gt;0</formula>
    </cfRule>
  </conditionalFormatting>
  <conditionalFormatting sqref="K76">
    <cfRule type="expression" dxfId="4" priority="5">
      <formula>M76&lt;&gt;0</formula>
    </cfRule>
  </conditionalFormatting>
  <conditionalFormatting sqref="K78">
    <cfRule type="expression" dxfId="3" priority="4">
      <formula>M78&lt;&gt;0</formula>
    </cfRule>
  </conditionalFormatting>
  <conditionalFormatting sqref="K80">
    <cfRule type="expression" dxfId="2" priority="3">
      <formula>M80&lt;&gt;0</formula>
    </cfRule>
  </conditionalFormatting>
  <conditionalFormatting sqref="K82">
    <cfRule type="expression" dxfId="1" priority="2">
      <formula>M82&lt;&gt;0</formula>
    </cfRule>
  </conditionalFormatting>
  <conditionalFormatting sqref="K84">
    <cfRule type="expression" dxfId="0" priority="1">
      <formula>M84&lt;&gt;0</formula>
    </cfRule>
  </conditionalFormatting>
  <dataValidations count="7">
    <dataValidation type="decimal" operator="greaterThanOrEqual" allowBlank="1" showInputMessage="1" showErrorMessage="1" errorTitle="Erro" error="Esta célula aceita somente número positivo ou igual a zero" sqref="D36 K4 D46:D48 K32:K34 D4 K26 D26 D22 K36 D32:D34 K46:K48">
      <formula1>0</formula1>
    </dataValidation>
    <dataValidation type="decimal" operator="greaterThanOrEqual" allowBlank="1" showInputMessage="1" showErrorMessage="1" errorTitle="Erro" error="Esta célula aceita somente número positivo ou igual a zero" promptTitle="Quantidade de dependentes" prompt="Se houver despesas com instrução com dependentes, preencha no quadro ao final da planilha." sqref="D28 K28">
      <formula1>0</formula1>
    </dataValidation>
    <dataValidation type="decimal" operator="greaterThanOrEqual" allowBlank="1" showInputMessage="1" showErrorMessage="1" errorTitle="Erro" error="Esta célula aceita somente número positivo ou igual a zero" promptTitle="Quantidade de alimentandos" prompt="Preencha com o número de alimentandos com ordem judicial. Se houver despesas com instrução com alimentandos, preencha no quadro ao final da planilha." sqref="D30 K30">
      <formula1>0</formula1>
    </dataValidation>
    <dataValidation type="decimal" operator="greaterThanOrEqual" allowBlank="1" showInputMessage="1" showErrorMessage="1" errorTitle="Erro" error="Esta célula aceita somente número positivo ou igual a zero" promptTitle="Deduções de incentivo" prompt="Estatuto da criança e do adolescente, Estatuto do Idoso, Incentivo à cultura, Incentivo ao audiovisual e Incentivo ao desporto, limitadas a 6% do imposto." sqref="D40 K40">
      <formula1>0</formula1>
    </dataValidation>
    <dataValidation type="decimal" operator="greaterThanOrEqual" allowBlank="1" showInputMessage="1" showErrorMessage="1" errorTitle="Erro" error="Esta célula aceita somente número positivo ou igual a zero" promptTitle="PRONAS/PCD" prompt="Programa Nacional de Apoio à Atenção e Saúde de Pessoa com Deficiência, limitada a 1% do imposto." sqref="D42 K42">
      <formula1>0</formula1>
    </dataValidation>
    <dataValidation type="decimal" operator="greaterThanOrEqual" allowBlank="1" showInputMessage="1" showErrorMessage="1" errorTitle="Erro" error="Esta célula aceita somente número positivo ou igual a zero" promptTitle="PRONON" prompt="Programa Nacional de Apoio à Atenção Oncológica, limitada a 1% do imposto." sqref="D44 K44">
      <formula1>0</formula1>
    </dataValidation>
    <dataValidation type="decimal" operator="greaterThanOrEqual" allowBlank="1" showInputMessage="1" showErrorMessage="1" errorTitle="Erro" error="Esta célula aceita somente número positivo ou igual a zero" promptTitle="Dedução empregado doméstico" prompt="Coloque aqui a contribuição patronal do INSS do empregado doméstico." sqref="D49 K49">
      <formula1>0</formula1>
    </dataValidation>
  </dataValidations>
  <pageMargins left="0.7" right="0.7" top="0.75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"/>
  <sheetViews>
    <sheetView workbookViewId="0">
      <selection activeCell="K6" sqref="K6"/>
    </sheetView>
  </sheetViews>
  <sheetFormatPr defaultRowHeight="15" x14ac:dyDescent="0.25"/>
  <cols>
    <col min="1" max="1" width="14.5703125" bestFit="1" customWidth="1"/>
    <col min="4" max="4" width="35.7109375" bestFit="1" customWidth="1"/>
    <col min="5" max="5" width="10.7109375" bestFit="1" customWidth="1"/>
  </cols>
  <sheetData>
    <row r="1" spans="1:11" x14ac:dyDescent="0.25">
      <c r="A1" t="s">
        <v>1</v>
      </c>
      <c r="D1" t="s">
        <v>9</v>
      </c>
      <c r="E1" s="3">
        <v>2275.08</v>
      </c>
      <c r="G1">
        <v>0</v>
      </c>
      <c r="H1" s="1">
        <v>0.22500000000000001</v>
      </c>
      <c r="J1">
        <v>0</v>
      </c>
      <c r="K1" s="2">
        <v>0.35</v>
      </c>
    </row>
    <row r="2" spans="1:11" x14ac:dyDescent="0.25">
      <c r="A2" s="3">
        <v>22847.759999999998</v>
      </c>
      <c r="B2" s="1">
        <v>7.4999999999999997E-2</v>
      </c>
      <c r="D2" t="s">
        <v>21</v>
      </c>
      <c r="E2" s="3">
        <v>3561.5</v>
      </c>
      <c r="G2">
        <v>0.5</v>
      </c>
      <c r="H2" s="2">
        <v>0.2</v>
      </c>
      <c r="J2">
        <v>2</v>
      </c>
      <c r="K2" s="2">
        <v>0.3</v>
      </c>
    </row>
    <row r="3" spans="1:11" x14ac:dyDescent="0.25">
      <c r="A3" s="3">
        <v>33919.800000000003</v>
      </c>
      <c r="B3" s="2">
        <v>0.15</v>
      </c>
      <c r="D3" t="s">
        <v>22</v>
      </c>
      <c r="E3" s="3">
        <v>1093.77</v>
      </c>
      <c r="G3">
        <v>1</v>
      </c>
      <c r="H3" s="1">
        <v>0.17499999999999999</v>
      </c>
      <c r="J3">
        <v>4</v>
      </c>
      <c r="K3" s="2">
        <v>0.25</v>
      </c>
    </row>
    <row r="4" spans="1:11" x14ac:dyDescent="0.25">
      <c r="A4" s="3">
        <v>45012.6</v>
      </c>
      <c r="B4" s="1">
        <v>0.22500000000000001</v>
      </c>
      <c r="G4">
        <v>2</v>
      </c>
      <c r="H4" s="2">
        <v>0.15</v>
      </c>
      <c r="J4">
        <v>6</v>
      </c>
      <c r="K4" s="2">
        <v>0.2</v>
      </c>
    </row>
    <row r="5" spans="1:11" x14ac:dyDescent="0.25">
      <c r="A5" s="3">
        <v>55976.160000000003</v>
      </c>
      <c r="B5" s="1">
        <v>0.27500000000000002</v>
      </c>
      <c r="H5" s="2"/>
      <c r="J5">
        <v>8</v>
      </c>
      <c r="K5" s="2">
        <v>0.15</v>
      </c>
    </row>
    <row r="6" spans="1:11" x14ac:dyDescent="0.25">
      <c r="J6">
        <v>10</v>
      </c>
      <c r="K6" s="2">
        <v>0.1</v>
      </c>
    </row>
    <row r="7" spans="1:11" x14ac:dyDescent="0.25">
      <c r="A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Base</vt:lpstr>
      <vt:lpstr>Tabelas</vt:lpstr>
      <vt:lpstr>Base!Print_Area</vt:lpstr>
    </vt:vector>
  </TitlesOfParts>
  <Company>Western Asset Management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Guterman</dc:creator>
  <cp:lastModifiedBy>Marcelo</cp:lastModifiedBy>
  <dcterms:created xsi:type="dcterms:W3CDTF">2017-04-07T12:39:08Z</dcterms:created>
  <dcterms:modified xsi:type="dcterms:W3CDTF">2017-04-16T15:16:38Z</dcterms:modified>
</cp:coreProperties>
</file>